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521" windowWidth="26130" windowHeight="19845" tabRatio="633" activeTab="4"/>
  </bookViews>
  <sheets>
    <sheet name="general notes" sheetId="1" r:id="rId1"/>
    <sheet name="notes for CRO" sheetId="2" r:id="rId2"/>
    <sheet name="Patient Data" sheetId="3" r:id="rId3"/>
    <sheet name="notes for DSMB" sheetId="4" r:id="rId4"/>
    <sheet name="Summary Listing" sheetId="5" r:id="rId5"/>
    <sheet name="Statistics" sheetId="6" r:id="rId6"/>
    <sheet name="chi-square" sheetId="7" r:id="rId7"/>
  </sheets>
  <definedNames>
    <definedName name="AllAEs_A">'Summary Listing'!$B$4:$B$49</definedName>
    <definedName name="AllAEs_F40">'Summary Listing'!$C$4:$C$49</definedName>
    <definedName name="AllAEs_F80">'Summary Listing'!$D$4:$D$49</definedName>
    <definedName name="AllAEs_treatment1">'Summary Listing'!$B$4:$B$49</definedName>
    <definedName name="AllAEs_treatment2">'Summary Listing'!$C$4:$C$49</definedName>
    <definedName name="AllAEs_treatment3">'Summary Listing'!$D$4:$D$49</definedName>
    <definedName name="chi_square_1DF">'chi-square'!$A$3:$C$23</definedName>
    <definedName name="chi_square_2DF">'chi-square'!$B$3:$C$23</definedName>
    <definedName name="NaiveAEs_A">'Summary Listing'!$E$4:$E$49</definedName>
    <definedName name="NaiveAEs_F40">'Summary Listing'!$F$4:$F$49</definedName>
    <definedName name="NaiveAEs_F80">'Summary Listing'!$G$4:$G$49</definedName>
    <definedName name="NaiveAEs_treatment1">'Summary Listing'!$E$4:$E$49</definedName>
    <definedName name="NaiveAEs_treatment2">'Summary Listing'!$F$4:$F$49</definedName>
    <definedName name="NaiveAEs_treatment3">'Summary Listing'!$G$4:$G$49</definedName>
    <definedName name="selection">'Summary Listing'!$H$4:$H$49</definedName>
  </definedNames>
  <calcPr fullCalcOnLoad="1"/>
</workbook>
</file>

<file path=xl/comments3.xml><?xml version="1.0" encoding="utf-8"?>
<comments xmlns="http://schemas.openxmlformats.org/spreadsheetml/2006/main">
  <authors>
    <author>Robert R. Fenichel</author>
  </authors>
  <commentList>
    <comment ref="N2" authorId="0">
      <text>
        <r>
          <rPr>
            <b/>
            <sz val="10"/>
            <rFont val="Tahoma"/>
            <family val="0"/>
          </rPr>
          <t>Robert R. Fenichel:</t>
        </r>
        <r>
          <rPr>
            <sz val="10"/>
            <rFont val="Tahoma"/>
            <family val="0"/>
          </rPr>
          <t xml:space="preserve">
  These column headings must correspond to the treatments named in the column headed "treatment."</t>
        </r>
      </text>
    </comment>
    <comment ref="O2" authorId="0">
      <text>
        <r>
          <rPr>
            <b/>
            <sz val="10"/>
            <rFont val="Tahoma"/>
            <family val="0"/>
          </rPr>
          <t>Robert R. Fenichel:</t>
        </r>
        <r>
          <rPr>
            <sz val="10"/>
            <rFont val="Tahoma"/>
            <family val="0"/>
          </rPr>
          <t xml:space="preserve">
  These column headings must correspond to the treatments named in the column headed "treatment."</t>
        </r>
      </text>
    </comment>
    <comment ref="P2" authorId="0">
      <text>
        <r>
          <rPr>
            <b/>
            <sz val="10"/>
            <rFont val="Tahoma"/>
            <family val="0"/>
          </rPr>
          <t>Robert R. Fenichel:</t>
        </r>
        <r>
          <rPr>
            <sz val="10"/>
            <rFont val="Tahoma"/>
            <family val="0"/>
          </rPr>
          <t xml:space="preserve">
  These column headings must correspond to the treatments named in the column headed "treatment."</t>
        </r>
      </text>
    </comment>
  </commentList>
</comments>
</file>

<file path=xl/sharedStrings.xml><?xml version="1.0" encoding="utf-8"?>
<sst xmlns="http://schemas.openxmlformats.org/spreadsheetml/2006/main" count="651" uniqueCount="134">
  <si>
    <t>patient number</t>
  </si>
  <si>
    <t>gout flare</t>
  </si>
  <si>
    <t>non-cardiac chest pain</t>
  </si>
  <si>
    <t>cellulitis</t>
  </si>
  <si>
    <t>rectal abscess</t>
  </si>
  <si>
    <t>benign positional vertigo</t>
  </si>
  <si>
    <t>atrial fibrillation</t>
  </si>
  <si>
    <t>fall</t>
  </si>
  <si>
    <t>syncope</t>
  </si>
  <si>
    <t>increased heart block</t>
  </si>
  <si>
    <t>pneumonia</t>
  </si>
  <si>
    <t>prostate adenoma</t>
  </si>
  <si>
    <t>sepsis</t>
  </si>
  <si>
    <t>rectal bleeding</t>
  </si>
  <si>
    <t>arthritis</t>
  </si>
  <si>
    <t>acute pancreatitis</t>
  </si>
  <si>
    <t>MI</t>
  </si>
  <si>
    <t>cerebral edema</t>
  </si>
  <si>
    <t>CHF</t>
  </si>
  <si>
    <t>diverticulitis</t>
  </si>
  <si>
    <t>yes</t>
  </si>
  <si>
    <t xml:space="preserve">N </t>
  </si>
  <si>
    <t>no</t>
  </si>
  <si>
    <t>totals</t>
  </si>
  <si>
    <t>expected events</t>
  </si>
  <si>
    <t>expected non-events</t>
  </si>
  <si>
    <t>(O-E)^2/E</t>
  </si>
  <si>
    <t xml:space="preserve">chisquare 2 DF: </t>
  </si>
  <si>
    <t xml:space="preserve">N: </t>
  </si>
  <si>
    <t>fixed text</t>
  </si>
  <si>
    <t>P &lt; this</t>
  </si>
  <si>
    <t>chi-square &gt; this</t>
  </si>
  <si>
    <t>observed events</t>
  </si>
  <si>
    <t>observed non-events</t>
  </si>
  <si>
    <t>1 DF</t>
  </si>
  <si>
    <t>2 DF</t>
  </si>
  <si>
    <t>all patients</t>
  </si>
  <si>
    <t>drug-naive patients</t>
  </si>
  <si>
    <t>selected AEs</t>
  </si>
  <si>
    <t>selected events</t>
  </si>
  <si>
    <t>non-selected events</t>
  </si>
  <si>
    <t xml:space="preserve">chisquare 1 DF: </t>
  </si>
  <si>
    <t>abdominal aortic aneurysm</t>
  </si>
  <si>
    <t>acute cholecystitis</t>
  </si>
  <si>
    <t>brain tumor</t>
  </si>
  <si>
    <t>chest pain</t>
  </si>
  <si>
    <t>chest pressure</t>
  </si>
  <si>
    <t>non-malignant colon polyps</t>
  </si>
  <si>
    <t>torn rotator cuff</t>
  </si>
  <si>
    <t>asymptomatic bradycardia</t>
  </si>
  <si>
    <t>SAE Description</t>
  </si>
  <si>
    <t>death</t>
  </si>
  <si>
    <t>motorcycle accident</t>
  </si>
  <si>
    <t>TIA</t>
  </si>
  <si>
    <t>Increased hypoglycemia</t>
  </si>
  <si>
    <t>dehydration</t>
  </si>
  <si>
    <t>blocked arteries</t>
  </si>
  <si>
    <t>laceration of tendon in right hand</t>
  </si>
  <si>
    <t>test 20 mg</t>
  </si>
  <si>
    <t>test 10 mg</t>
  </si>
  <si>
    <t>control</t>
  </si>
  <si>
    <t>screening</t>
  </si>
  <si>
    <t>naive to control</t>
  </si>
  <si>
    <t>naive to test drug</t>
  </si>
  <si>
    <t>acute appendicitis</t>
  </si>
  <si>
    <t>perforated appendicitis</t>
  </si>
  <si>
    <t>bilateral pulmonary emboli</t>
  </si>
  <si>
    <t>calculus of gallbladder</t>
  </si>
  <si>
    <t>bladder cancer</t>
  </si>
  <si>
    <t>prostate cancer</t>
  </si>
  <si>
    <t>colon cancer</t>
  </si>
  <si>
    <t>lung cancer</t>
  </si>
  <si>
    <t>breast cancer</t>
  </si>
  <si>
    <t>cholelithiasis</t>
  </si>
  <si>
    <t>coronary artery disease</t>
  </si>
  <si>
    <t>sudden death</t>
  </si>
  <si>
    <t>death due to ant bites</t>
  </si>
  <si>
    <t>embolism, left kidney</t>
  </si>
  <si>
    <t>mechanical fall</t>
  </si>
  <si>
    <t>fracture, left elbow</t>
  </si>
  <si>
    <t>gout attack</t>
  </si>
  <si>
    <t>right hip pain</t>
  </si>
  <si>
    <t>hypersensitiviy to study drug</t>
  </si>
  <si>
    <t>infection, right foot</t>
  </si>
  <si>
    <t>heart attack</t>
  </si>
  <si>
    <t>double pneumonia</t>
  </si>
  <si>
    <t>syncopal episode</t>
  </si>
  <si>
    <t>stroke</t>
  </si>
  <si>
    <t>possible TIA</t>
  </si>
  <si>
    <t>upper gastrointestinal bleed</t>
  </si>
  <si>
    <t>vomiting and diarrhea</t>
  </si>
  <si>
    <t>fatal cardiac arrest due to MI</t>
  </si>
  <si>
    <t>acute renal failure/obstructive uropathy</t>
  </si>
  <si>
    <t>sudden collapse</t>
  </si>
  <si>
    <t>uncontrolled hypertension</t>
  </si>
  <si>
    <t>colitis</t>
  </si>
  <si>
    <t>obstructive acute bronchitis/COPD/emphysema</t>
  </si>
  <si>
    <t>bradycardia</t>
  </si>
  <si>
    <t>bowel ischemia/stenosis of the celiac trunk</t>
  </si>
  <si>
    <t>grouping by CRO</t>
  </si>
  <si>
    <t>cholecystitis</t>
  </si>
  <si>
    <t>pancreatitis</t>
  </si>
  <si>
    <t>pulmonary embolism</t>
  </si>
  <si>
    <t>atherosclerosis</t>
  </si>
  <si>
    <t>neoplasm</t>
  </si>
  <si>
    <t>trauma</t>
  </si>
  <si>
    <t>gout</t>
  </si>
  <si>
    <t>arthritis/arthralgia</t>
  </si>
  <si>
    <t>infection, cutaneous</t>
  </si>
  <si>
    <t>infection, deep</t>
  </si>
  <si>
    <t>GI bleeding</t>
  </si>
  <si>
    <t>CVA</t>
  </si>
  <si>
    <t>(grouped) AE</t>
  </si>
  <si>
    <t>which drug</t>
  </si>
  <si>
    <t>accumulate</t>
  </si>
  <si>
    <t>treatment</t>
  </si>
  <si>
    <t/>
  </si>
  <si>
    <t>selected events, test drug pooled</t>
  </si>
  <si>
    <t>pool</t>
  </si>
  <si>
    <t>non-selected events, test drug pooled</t>
  </si>
  <si>
    <t xml:space="preserve">  This spreadsheet was devised to support the operations of a Data Safety Monitoring Board of which I was a member.</t>
  </si>
  <si>
    <t xml:space="preserve">  The job of the DSMB was to look for patterns in the data, suggesting, say, that the higher dose of the test drug was associated with an increased incidence of thrombotic events.  The data were expected to be (and were) sparse, so we were out to tell a good story, not to test a specific hypothesis.  Our work consisted of lumping the reported AEs in various ways, looking for signals to emerge.  Even though statistically-strong results were not required, members of the DSMB with lesser statistical sophistication repeatedly wondered how likely it was that this or that clustering was likely to be the result of chance.</t>
  </si>
  <si>
    <t xml:space="preserve">  The spreadsheet attempts to let the CRO and the DSMB members make best use of their respective expertise.</t>
  </si>
  <si>
    <t>copy to Summary Listing</t>
  </si>
  <si>
    <t xml:space="preserve">  On the Patient Data page, the CRO enters the listing of AE reports, with patient IDs to facilitate cross checking.  Once the rows are sorted by treatment (and, optionally, by drug experience), the computed columns summarize the distributions of AEs by treatment group. Non-empty rows from these columns are then copied to the Summary Listing page. </t>
  </si>
  <si>
    <t xml:space="preserve">  On the Summary Listing page, DSMB members select AEs of interest by entering "yes" in the designated column.  Analysis of the distributions of the selected AEs is then shown on the Statistics page.</t>
  </si>
  <si>
    <t>entered by CRO</t>
  </si>
  <si>
    <t>entered by DSMB</t>
  </si>
  <si>
    <r>
      <t xml:space="preserve">computed by spreadsheet; </t>
    </r>
    <r>
      <rPr>
        <b/>
        <sz val="11"/>
        <rFont val="Arial"/>
        <family val="2"/>
      </rPr>
      <t>do not edit</t>
    </r>
  </si>
  <si>
    <t xml:space="preserve">  The analyses shown on the Statistics page relate to the AEs selected by you.  An AE is selected when and only when a "yes" appears in its row on the Summary Listing page.  You should hesitate before making changes elsewhere than to the "selected AEs" column on the Summary Listing page.</t>
  </si>
  <si>
    <r>
      <t xml:space="preserve">  During the trial being monitored by this DSMB, a CRO managed the accumulating body of adverse-event (AE) reports.  The assigned CRO staff had no special medical or statistical skills, but they insulated the DSMB from the dogwork of making sure that AE reports were not duplicated, that missing values were diligently sought, and so on.  At least one member of the CRO staff was unblinded to the patients' treatment assignments.  The CRO did some grouping of AEs (</t>
    </r>
    <r>
      <rPr>
        <i/>
        <sz val="10"/>
        <rFont val="Arial"/>
        <family val="2"/>
      </rPr>
      <t>e.g.</t>
    </r>
    <r>
      <rPr>
        <sz val="10"/>
        <rFont val="Arial"/>
        <family val="0"/>
      </rPr>
      <t>, putting all of the superficial infections together), but they were expected to make no information-losing decisions.</t>
    </r>
  </si>
  <si>
    <t xml:space="preserve">  If the names of the treatments (as used in the "treatment" column of the Patient Data page) are changed, then the column subheadings of the "copy to Summary Listing" group must be changed to match.</t>
  </si>
  <si>
    <t xml:space="preserve">  When you insert a row into the Patient Data page, remember to fill the calculated cells of the row (even those in hidden columns) by copying from an existing row.  As usual, inserting in the middle (rather than at the end) is the best way to preserve formatting, and, most important, to preserve the integrity of named ranges.</t>
  </si>
  <si>
    <t xml:space="preserve">  Before copying anything to the Summary Listing page, sort the rows of the Patient Data page that describe post-screening AEs, using the columns headed "grouping by CRO" and "treatment."  For the Summary Listing columns limited to drug-naive patients, do a preliminary sort to get only the rows of patient data that you want, then sort by grouping &amp; treatment as before.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</si>
</sst>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_);\(#,##0.0000\)"/>
    <numFmt numFmtId="165" formatCode="#,##0.0000"/>
  </numFmts>
  <fonts count="11">
    <font>
      <sz val="10"/>
      <name val="Arial"/>
      <family val="0"/>
    </font>
    <font>
      <b/>
      <sz val="11"/>
      <name val="Arial"/>
      <family val="2"/>
    </font>
    <font>
      <sz val="10"/>
      <color indexed="10"/>
      <name val="Arial"/>
      <family val="0"/>
    </font>
    <font>
      <b/>
      <sz val="10"/>
      <name val="Arial"/>
      <family val="2"/>
    </font>
    <font>
      <b/>
      <sz val="10"/>
      <color indexed="48"/>
      <name val="Arial"/>
      <family val="2"/>
    </font>
    <font>
      <b/>
      <sz val="16"/>
      <name val="Arial"/>
      <family val="2"/>
    </font>
    <font>
      <sz val="8"/>
      <name val="Arial"/>
      <family val="0"/>
    </font>
    <font>
      <sz val="10"/>
      <name val="Tahoma"/>
      <family val="0"/>
    </font>
    <font>
      <b/>
      <sz val="10"/>
      <name val="Tahoma"/>
      <family val="0"/>
    </font>
    <font>
      <i/>
      <sz val="10"/>
      <name val="Arial"/>
      <family val="2"/>
    </font>
    <font>
      <b/>
      <sz val="8"/>
      <name val="Arial"/>
      <family val="2"/>
    </font>
  </fonts>
  <fills count="7">
    <fill>
      <patternFill/>
    </fill>
    <fill>
      <patternFill patternType="gray125"/>
    </fill>
    <fill>
      <patternFill patternType="solid">
        <fgColor indexed="29"/>
        <bgColor indexed="64"/>
      </patternFill>
    </fill>
    <fill>
      <patternFill patternType="solid">
        <fgColor indexed="41"/>
        <bgColor indexed="64"/>
      </patternFill>
    </fill>
    <fill>
      <patternFill patternType="solid">
        <fgColor indexed="47"/>
        <bgColor indexed="64"/>
      </patternFill>
    </fill>
    <fill>
      <patternFill patternType="solid">
        <fgColor indexed="13"/>
        <bgColor indexed="64"/>
      </patternFill>
    </fill>
    <fill>
      <patternFill patternType="solid">
        <fgColor indexed="29"/>
        <bgColor indexed="64"/>
      </patternFill>
    </fill>
  </fills>
  <borders count="47">
    <border>
      <left/>
      <right/>
      <top/>
      <bottom/>
      <diagonal/>
    </border>
    <border>
      <left>
        <color indexed="63"/>
      </left>
      <right style="thin"/>
      <top>
        <color indexed="63"/>
      </top>
      <bottom style="thin"/>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style="medium"/>
      <top style="medium"/>
      <bottom style="medium"/>
    </border>
    <border>
      <left style="thin"/>
      <right style="thin"/>
      <top style="thin"/>
      <bottom style="thin"/>
    </border>
    <border>
      <left style="thin"/>
      <right style="medium"/>
      <top style="thin"/>
      <bottom style="thin"/>
    </border>
    <border>
      <left style="thin"/>
      <right style="thin"/>
      <top>
        <color indexed="63"/>
      </top>
      <bottom style="thin"/>
    </border>
    <border>
      <left style="thin"/>
      <right style="medium"/>
      <top style="medium"/>
      <bottom style="medium"/>
    </border>
    <border>
      <left style="medium"/>
      <right style="medium"/>
      <top style="medium"/>
      <bottom style="medium"/>
    </border>
    <border>
      <left style="thin"/>
      <right style="double"/>
      <top>
        <color indexed="63"/>
      </top>
      <bottom>
        <color indexed="63"/>
      </bottom>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thin"/>
      <right style="medium"/>
      <top>
        <color indexed="63"/>
      </top>
      <bottom style="thin"/>
    </border>
    <border>
      <left style="medium"/>
      <right style="thin"/>
      <top>
        <color indexed="63"/>
      </top>
      <bottom style="medium"/>
    </border>
    <border>
      <left style="thin"/>
      <right style="medium"/>
      <top>
        <color indexed="63"/>
      </top>
      <bottom style="medium"/>
    </border>
    <border>
      <left>
        <color indexed="63"/>
      </left>
      <right style="thin"/>
      <top style="thin"/>
      <bottom style="thin"/>
    </border>
    <border>
      <left>
        <color indexed="63"/>
      </left>
      <right style="medium"/>
      <top style="medium"/>
      <bottom>
        <color indexed="63"/>
      </bottom>
    </border>
    <border>
      <left style="medium"/>
      <right style="medium"/>
      <top style="medium"/>
      <bottom>
        <color indexed="63"/>
      </bottom>
    </border>
    <border>
      <left>
        <color indexed="63"/>
      </left>
      <right>
        <color indexed="63"/>
      </right>
      <top style="medium"/>
      <bottom>
        <color indexed="63"/>
      </bottom>
    </border>
    <border>
      <left>
        <color indexed="63"/>
      </left>
      <right style="medium"/>
      <top>
        <color indexed="63"/>
      </top>
      <bottom style="medium"/>
    </border>
    <border>
      <left style="medium"/>
      <right style="thick"/>
      <top>
        <color indexed="63"/>
      </top>
      <bottom>
        <color indexed="63"/>
      </bottom>
    </border>
    <border>
      <left>
        <color indexed="63"/>
      </left>
      <right style="thick"/>
      <top>
        <color indexed="63"/>
      </top>
      <bottom>
        <color indexed="63"/>
      </bottom>
    </border>
    <border>
      <left>
        <color indexed="63"/>
      </left>
      <right style="thick"/>
      <top style="medium"/>
      <bottom>
        <color indexed="63"/>
      </bottom>
    </border>
    <border>
      <left>
        <color indexed="63"/>
      </left>
      <right style="thick"/>
      <top style="medium"/>
      <bottom style="medium"/>
    </border>
    <border>
      <left style="medium"/>
      <right style="thick"/>
      <top style="medium"/>
      <bottom style="medium"/>
    </border>
    <border>
      <left>
        <color indexed="63"/>
      </left>
      <right style="thick"/>
      <top style="thin"/>
      <bottom style="thin"/>
    </border>
    <border>
      <left style="thick"/>
      <right style="medium"/>
      <top>
        <color indexed="63"/>
      </top>
      <bottom>
        <color indexed="63"/>
      </bottom>
    </border>
    <border>
      <left style="thin"/>
      <right style="thin"/>
      <top style="thin"/>
      <bottom style="medium"/>
    </border>
    <border>
      <left>
        <color indexed="63"/>
      </left>
      <right style="thick"/>
      <top style="medium"/>
      <bottom style="thin"/>
    </border>
    <border>
      <left>
        <color indexed="63"/>
      </left>
      <right style="thick"/>
      <top>
        <color indexed="63"/>
      </top>
      <bottom style="thin"/>
    </border>
    <border>
      <left style="thin"/>
      <right style="medium"/>
      <top style="medium"/>
      <bottom style="thin"/>
    </border>
    <border>
      <left>
        <color indexed="63"/>
      </left>
      <right style="medium"/>
      <top style="thin"/>
      <bottom style="thin"/>
    </border>
    <border>
      <left style="thin"/>
      <right>
        <color indexed="63"/>
      </right>
      <top style="thin"/>
      <bottom style="thin"/>
    </border>
    <border>
      <left style="thin"/>
      <right style="thin"/>
      <top>
        <color indexed="63"/>
      </top>
      <bottom>
        <color indexed="63"/>
      </bottom>
    </border>
    <border>
      <left style="thin"/>
      <right style="medium"/>
      <top>
        <color indexed="63"/>
      </top>
      <bottom>
        <color indexed="63"/>
      </bottom>
    </border>
    <border>
      <left style="thin"/>
      <right>
        <color indexed="63"/>
      </right>
      <top>
        <color indexed="63"/>
      </top>
      <bottom>
        <color indexed="63"/>
      </bottom>
    </border>
    <border>
      <left style="thin"/>
      <right style="thick"/>
      <top style="thin"/>
      <bottom style="thin"/>
    </border>
    <border>
      <left style="thin"/>
      <right>
        <color indexed="63"/>
      </right>
      <top style="thin"/>
      <bottom>
        <color indexed="63"/>
      </bottom>
    </border>
    <border>
      <left style="medium"/>
      <right style="medium"/>
      <top>
        <color indexed="63"/>
      </top>
      <bottom>
        <color indexed="63"/>
      </bottom>
    </border>
    <border>
      <left>
        <color indexed="63"/>
      </left>
      <right>
        <color indexed="63"/>
      </right>
      <top style="thin"/>
      <bottom style="thin"/>
    </border>
    <border>
      <left style="medium"/>
      <right>
        <color indexed="63"/>
      </right>
      <top>
        <color indexed="63"/>
      </top>
      <bottom>
        <color indexed="63"/>
      </bottom>
    </border>
    <border>
      <left>
        <color indexed="63"/>
      </left>
      <right style="thick"/>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1" applyNumberFormat="0" applyFont="0" applyBorder="0" applyAlignment="0">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3" borderId="0" applyNumberFormat="0" applyFont="0" applyBorder="0" applyAlignment="0" applyProtection="0"/>
    <xf numFmtId="9" fontId="0" fillId="0" borderId="0" applyFont="0" applyFill="0" applyBorder="0" applyAlignment="0" applyProtection="0"/>
  </cellStyleXfs>
  <cellXfs count="146">
    <xf numFmtId="0" fontId="0" fillId="0" borderId="0" xfId="0" applyAlignment="1">
      <alignment/>
    </xf>
    <xf numFmtId="0" fontId="0" fillId="0" borderId="0" xfId="0" applyAlignment="1">
      <alignment horizontal="center" wrapText="1"/>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4" borderId="5" xfId="0" applyFill="1" applyBorder="1" applyAlignment="1">
      <alignment horizontal="center" vertical="center"/>
    </xf>
    <xf numFmtId="0" fontId="0" fillId="0" borderId="6" xfId="0" applyBorder="1" applyAlignment="1">
      <alignment horizontal="center"/>
    </xf>
    <xf numFmtId="0" fontId="0" fillId="0" borderId="6" xfId="0" applyBorder="1" applyAlignment="1">
      <alignment/>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xf>
    <xf numFmtId="0" fontId="1" fillId="3" borderId="12" xfId="20" applyFont="1" applyBorder="1" applyAlignment="1">
      <alignment horizontal="center"/>
    </xf>
    <xf numFmtId="0" fontId="0" fillId="3" borderId="6" xfId="20" applyBorder="1" applyAlignment="1">
      <alignment/>
    </xf>
    <xf numFmtId="0" fontId="1" fillId="3" borderId="13" xfId="20" applyFont="1" applyBorder="1" applyAlignment="1">
      <alignment/>
    </xf>
    <xf numFmtId="0" fontId="1" fillId="3" borderId="13" xfId="20" applyFont="1" applyBorder="1" applyAlignment="1">
      <alignment horizontal="right"/>
    </xf>
    <xf numFmtId="0" fontId="0" fillId="3" borderId="0" xfId="20" applyBorder="1" applyAlignment="1">
      <alignment/>
    </xf>
    <xf numFmtId="0" fontId="1" fillId="3" borderId="5" xfId="20" applyFont="1" applyBorder="1" applyAlignment="1">
      <alignment horizontal="right" vertical="center" wrapText="1"/>
    </xf>
    <xf numFmtId="0" fontId="0" fillId="3" borderId="0" xfId="20" applyBorder="1" applyAlignment="1">
      <alignment vertical="center"/>
    </xf>
    <xf numFmtId="0" fontId="1" fillId="3" borderId="14" xfId="20" applyFont="1" applyBorder="1" applyAlignment="1">
      <alignment horizontal="right" vertical="center" wrapText="1"/>
    </xf>
    <xf numFmtId="0" fontId="1" fillId="3" borderId="15" xfId="20" applyFont="1" applyBorder="1" applyAlignment="1">
      <alignment horizontal="right" wrapText="1"/>
    </xf>
    <xf numFmtId="0" fontId="0" fillId="3" borderId="15" xfId="20" applyBorder="1" applyAlignment="1">
      <alignment/>
    </xf>
    <xf numFmtId="0" fontId="0" fillId="3" borderId="0" xfId="20" applyFont="1" applyBorder="1" applyAlignment="1">
      <alignment/>
    </xf>
    <xf numFmtId="164" fontId="0" fillId="0" borderId="0" xfId="0" applyNumberFormat="1" applyAlignment="1">
      <alignment/>
    </xf>
    <xf numFmtId="164" fontId="0" fillId="0" borderId="3" xfId="0" applyNumberFormat="1" applyBorder="1" applyAlignment="1">
      <alignment/>
    </xf>
    <xf numFmtId="0" fontId="0" fillId="0" borderId="0" xfId="0" applyNumberFormat="1" applyAlignment="1">
      <alignment/>
    </xf>
    <xf numFmtId="0" fontId="3" fillId="2" borderId="0" xfId="15" applyFont="1" applyAlignment="1">
      <alignment horizontal="center"/>
      <protection/>
    </xf>
    <xf numFmtId="0" fontId="3" fillId="2" borderId="10" xfId="15" applyFont="1" applyBorder="1" applyAlignment="1">
      <alignment horizontal="center"/>
      <protection/>
    </xf>
    <xf numFmtId="0" fontId="0" fillId="3" borderId="0" xfId="20" applyAlignment="1">
      <alignment/>
    </xf>
    <xf numFmtId="164" fontId="0" fillId="3" borderId="16" xfId="20" applyNumberFormat="1" applyBorder="1" applyAlignment="1">
      <alignment/>
    </xf>
    <xf numFmtId="164" fontId="0" fillId="3" borderId="7" xfId="20" applyNumberFormat="1" applyBorder="1" applyAlignment="1">
      <alignment/>
    </xf>
    <xf numFmtId="0" fontId="3" fillId="3" borderId="17" xfId="20" applyFont="1" applyBorder="1" applyAlignment="1">
      <alignment horizontal="center" wrapText="1"/>
    </xf>
    <xf numFmtId="0" fontId="1" fillId="3" borderId="18" xfId="20" applyFont="1" applyBorder="1" applyAlignment="1">
      <alignment horizontal="center"/>
    </xf>
    <xf numFmtId="11" fontId="0" fillId="3" borderId="8" xfId="20" applyNumberFormat="1" applyBorder="1" applyAlignment="1">
      <alignment horizontal="center"/>
    </xf>
    <xf numFmtId="11" fontId="0" fillId="3" borderId="6" xfId="20" applyNumberFormat="1" applyBorder="1" applyAlignment="1">
      <alignment horizontal="center"/>
    </xf>
    <xf numFmtId="164" fontId="0" fillId="3" borderId="6" xfId="20" applyNumberFormat="1" applyBorder="1" applyAlignment="1">
      <alignment horizontal="right"/>
    </xf>
    <xf numFmtId="165" fontId="0" fillId="3" borderId="1" xfId="20" applyNumberFormat="1" applyBorder="1" applyAlignment="1">
      <alignment horizontal="center"/>
    </xf>
    <xf numFmtId="165" fontId="0" fillId="3" borderId="19" xfId="20" applyNumberFormat="1" applyBorder="1" applyAlignment="1">
      <alignment horizontal="center"/>
    </xf>
    <xf numFmtId="0" fontId="4" fillId="5" borderId="6" xfId="15" applyFont="1" applyFill="1" applyBorder="1" applyAlignment="1">
      <alignment horizontal="left" vertical="center" wrapText="1"/>
      <protection/>
    </xf>
    <xf numFmtId="0" fontId="1" fillId="3" borderId="0" xfId="20" applyFont="1" applyBorder="1" applyAlignment="1">
      <alignment horizontal="center"/>
    </xf>
    <xf numFmtId="0" fontId="1" fillId="3" borderId="12" xfId="20" applyFont="1" applyBorder="1" applyAlignment="1">
      <alignment horizontal="right"/>
    </xf>
    <xf numFmtId="0" fontId="1" fillId="3" borderId="20" xfId="20" applyFont="1" applyBorder="1" applyAlignment="1">
      <alignment horizontal="center"/>
    </xf>
    <xf numFmtId="37" fontId="0" fillId="2" borderId="6" xfId="15" applyNumberFormat="1" applyBorder="1" applyAlignment="1">
      <alignment horizontal="right" vertical="center"/>
      <protection/>
    </xf>
    <xf numFmtId="37" fontId="0" fillId="2" borderId="6" xfId="15" applyNumberFormat="1" applyBorder="1" applyAlignment="1">
      <alignment horizontal="right"/>
      <protection/>
    </xf>
    <xf numFmtId="0" fontId="0" fillId="3" borderId="21" xfId="20" applyBorder="1" applyAlignment="1">
      <alignment/>
    </xf>
    <xf numFmtId="0" fontId="1" fillId="3" borderId="21" xfId="20" applyFont="1" applyBorder="1" applyAlignment="1">
      <alignment horizontal="center"/>
    </xf>
    <xf numFmtId="0" fontId="0" fillId="3" borderId="22" xfId="20" applyBorder="1" applyAlignment="1">
      <alignment/>
    </xf>
    <xf numFmtId="0" fontId="0" fillId="3" borderId="0" xfId="20" applyBorder="1" applyAlignment="1">
      <alignment/>
    </xf>
    <xf numFmtId="0" fontId="0" fillId="3" borderId="12" xfId="20" applyBorder="1" applyAlignment="1">
      <alignment/>
    </xf>
    <xf numFmtId="0" fontId="0" fillId="3" borderId="12" xfId="20" applyBorder="1" applyAlignment="1">
      <alignment/>
    </xf>
    <xf numFmtId="0" fontId="2" fillId="0" borderId="8" xfId="0" applyFont="1" applyBorder="1" applyAlignment="1">
      <alignment horizontal="center"/>
    </xf>
    <xf numFmtId="37" fontId="0" fillId="4" borderId="5" xfId="0" applyNumberFormat="1" applyFill="1" applyBorder="1" applyAlignment="1">
      <alignment horizontal="right" vertical="center"/>
    </xf>
    <xf numFmtId="37" fontId="0" fillId="3" borderId="0" xfId="20" applyNumberFormat="1" applyBorder="1" applyAlignment="1">
      <alignment horizontal="right"/>
    </xf>
    <xf numFmtId="0" fontId="4" fillId="3" borderId="23" xfId="20" applyFont="1" applyBorder="1" applyAlignment="1">
      <alignment vertical="center" wrapText="1"/>
    </xf>
    <xf numFmtId="0" fontId="4" fillId="3" borderId="0" xfId="20" applyFont="1" applyBorder="1" applyAlignment="1">
      <alignment vertical="center" wrapText="1"/>
    </xf>
    <xf numFmtId="0" fontId="4" fillId="3" borderId="15" xfId="20" applyFont="1" applyBorder="1" applyAlignment="1">
      <alignment vertical="center" wrapText="1"/>
    </xf>
    <xf numFmtId="0" fontId="1" fillId="3" borderId="24" xfId="20" applyFont="1" applyBorder="1" applyAlignment="1">
      <alignment horizontal="center"/>
    </xf>
    <xf numFmtId="0" fontId="1" fillId="3" borderId="24" xfId="20" applyFont="1" applyBorder="1" applyAlignment="1">
      <alignment/>
    </xf>
    <xf numFmtId="0" fontId="1" fillId="3" borderId="25" xfId="20" applyFont="1" applyBorder="1" applyAlignment="1">
      <alignment/>
    </xf>
    <xf numFmtId="0" fontId="0" fillId="3" borderId="25" xfId="20" applyBorder="1" applyAlignment="1">
      <alignment/>
    </xf>
    <xf numFmtId="0" fontId="1" fillId="3" borderId="26" xfId="20" applyFont="1" applyBorder="1" applyAlignment="1">
      <alignment horizontal="center"/>
    </xf>
    <xf numFmtId="37" fontId="0" fillId="4" borderId="27" xfId="0" applyNumberFormat="1" applyFill="1" applyBorder="1" applyAlignment="1">
      <alignment horizontal="right" vertical="center"/>
    </xf>
    <xf numFmtId="0" fontId="0" fillId="3" borderId="25" xfId="20" applyBorder="1" applyAlignment="1">
      <alignment horizontal="right"/>
    </xf>
    <xf numFmtId="0" fontId="1" fillId="3" borderId="25" xfId="20" applyFont="1" applyBorder="1" applyAlignment="1">
      <alignment horizontal="center"/>
    </xf>
    <xf numFmtId="37" fontId="0" fillId="3" borderId="25" xfId="20" applyNumberFormat="1" applyBorder="1" applyAlignment="1">
      <alignment horizontal="right"/>
    </xf>
    <xf numFmtId="37" fontId="0" fillId="4" borderId="28" xfId="0" applyNumberFormat="1" applyFill="1" applyBorder="1" applyAlignment="1">
      <alignment horizontal="right" vertical="center"/>
    </xf>
    <xf numFmtId="0" fontId="0" fillId="4" borderId="28" xfId="0" applyFill="1" applyBorder="1" applyAlignment="1">
      <alignment horizontal="center" vertical="center"/>
    </xf>
    <xf numFmtId="0" fontId="1" fillId="3" borderId="0" xfId="20" applyFont="1" applyBorder="1" applyAlignment="1">
      <alignment horizontal="right" vertical="center" wrapText="1"/>
    </xf>
    <xf numFmtId="0" fontId="0" fillId="0" borderId="6" xfId="0" applyFill="1" applyBorder="1" applyAlignment="1">
      <alignment/>
    </xf>
    <xf numFmtId="0" fontId="0" fillId="0" borderId="2" xfId="0" applyFill="1" applyBorder="1" applyAlignment="1">
      <alignment/>
    </xf>
    <xf numFmtId="0" fontId="0" fillId="0" borderId="0" xfId="0" applyFill="1" applyAlignment="1">
      <alignment/>
    </xf>
    <xf numFmtId="0" fontId="4" fillId="3" borderId="15" xfId="20" applyFont="1" applyFill="1" applyBorder="1" applyAlignment="1">
      <alignment vertical="center" wrapText="1"/>
    </xf>
    <xf numFmtId="0" fontId="0" fillId="3" borderId="25" xfId="20" applyFill="1" applyBorder="1" applyAlignment="1">
      <alignment/>
    </xf>
    <xf numFmtId="0" fontId="1" fillId="3" borderId="6" xfId="0" applyFont="1" applyFill="1" applyBorder="1" applyAlignment="1">
      <alignment horizontal="center" wrapText="1"/>
    </xf>
    <xf numFmtId="0" fontId="0" fillId="3" borderId="10" xfId="20" applyBorder="1" applyAlignment="1">
      <alignment/>
    </xf>
    <xf numFmtId="37" fontId="0" fillId="2" borderId="8" xfId="15" applyNumberFormat="1" applyBorder="1" applyAlignment="1">
      <alignment horizontal="right" vertical="center"/>
      <protection/>
    </xf>
    <xf numFmtId="0" fontId="1" fillId="3" borderId="10" xfId="20" applyFont="1" applyBorder="1" applyAlignment="1">
      <alignment horizontal="center"/>
    </xf>
    <xf numFmtId="0" fontId="0" fillId="0" borderId="0" xfId="0" applyAlignment="1">
      <alignment horizontal="left"/>
    </xf>
    <xf numFmtId="0" fontId="4" fillId="5" borderId="29" xfId="15" applyFont="1" applyFill="1" applyBorder="1" applyAlignment="1">
      <alignment horizontal="center" vertical="center" wrapText="1"/>
      <protection/>
    </xf>
    <xf numFmtId="0" fontId="0" fillId="3" borderId="22" xfId="20" applyFont="1" applyBorder="1" applyAlignment="1">
      <alignment/>
    </xf>
    <xf numFmtId="0" fontId="4" fillId="3" borderId="30" xfId="20" applyFont="1" applyBorder="1" applyAlignment="1">
      <alignment vertical="center" wrapText="1"/>
    </xf>
    <xf numFmtId="0" fontId="0" fillId="3" borderId="26" xfId="20" applyFont="1" applyBorder="1" applyAlignment="1">
      <alignment/>
    </xf>
    <xf numFmtId="0" fontId="0" fillId="0" borderId="19" xfId="0" applyBorder="1" applyAlignment="1">
      <alignment horizontal="center"/>
    </xf>
    <xf numFmtId="0" fontId="0" fillId="0" borderId="3" xfId="0" applyBorder="1" applyAlignment="1">
      <alignment horizontal="left"/>
    </xf>
    <xf numFmtId="0" fontId="0" fillId="0" borderId="8" xfId="0" applyBorder="1" applyAlignment="1">
      <alignment/>
    </xf>
    <xf numFmtId="0" fontId="0" fillId="0" borderId="31" xfId="0" applyBorder="1" applyAlignment="1">
      <alignment/>
    </xf>
    <xf numFmtId="0" fontId="0" fillId="2" borderId="8" xfId="15" applyBorder="1" applyAlignment="1">
      <alignment horizontal="center"/>
      <protection/>
    </xf>
    <xf numFmtId="0" fontId="0" fillId="2" borderId="6" xfId="15" applyBorder="1" applyAlignment="1">
      <alignment/>
      <protection/>
    </xf>
    <xf numFmtId="0" fontId="0" fillId="2" borderId="6" xfId="15" applyBorder="1" applyAlignment="1">
      <alignment horizontal="center"/>
      <protection/>
    </xf>
    <xf numFmtId="0" fontId="4" fillId="5" borderId="32" xfId="15" applyFont="1" applyFill="1" applyBorder="1" applyAlignment="1">
      <alignment horizontal="center" vertical="center" wrapText="1"/>
      <protection/>
    </xf>
    <xf numFmtId="0" fontId="4" fillId="5" borderId="29" xfId="0" applyFont="1" applyFill="1" applyBorder="1" applyAlignment="1">
      <alignment horizontal="center"/>
    </xf>
    <xf numFmtId="0" fontId="4" fillId="5" borderId="33" xfId="0" applyFont="1" applyFill="1" applyBorder="1" applyAlignment="1">
      <alignment horizontal="center"/>
    </xf>
    <xf numFmtId="0" fontId="0" fillId="0" borderId="34" xfId="0" applyBorder="1" applyAlignment="1">
      <alignment horizontal="center"/>
    </xf>
    <xf numFmtId="0" fontId="2" fillId="0" borderId="1" xfId="0" applyFont="1" applyBorder="1" applyAlignment="1">
      <alignment horizontal="center"/>
    </xf>
    <xf numFmtId="0" fontId="0" fillId="0" borderId="15" xfId="0" applyBorder="1" applyAlignment="1">
      <alignment/>
    </xf>
    <xf numFmtId="0" fontId="0" fillId="0" borderId="35" xfId="0" applyBorder="1" applyAlignment="1">
      <alignment horizontal="center"/>
    </xf>
    <xf numFmtId="0" fontId="1" fillId="2" borderId="6" xfId="15" applyFont="1" applyBorder="1" applyAlignment="1">
      <alignment horizontal="center" wrapText="1"/>
      <protection/>
    </xf>
    <xf numFmtId="0" fontId="1" fillId="0" borderId="11" xfId="0" applyFont="1" applyBorder="1" applyAlignment="1">
      <alignment horizontal="center" wrapText="1"/>
    </xf>
    <xf numFmtId="0" fontId="1" fillId="0" borderId="0" xfId="0" applyFont="1" applyAlignment="1">
      <alignment horizontal="center" wrapText="1"/>
    </xf>
    <xf numFmtId="0" fontId="1" fillId="0" borderId="36" xfId="0" applyFont="1" applyBorder="1" applyAlignment="1">
      <alignment horizontal="center" wrapText="1"/>
    </xf>
    <xf numFmtId="0" fontId="0" fillId="3" borderId="0" xfId="20" applyBorder="1" applyAlignment="1">
      <alignment vertical="center" wrapText="1"/>
    </xf>
    <xf numFmtId="0" fontId="0" fillId="3" borderId="0" xfId="20" applyAlignment="1">
      <alignment vertical="center" wrapText="1"/>
    </xf>
    <xf numFmtId="0" fontId="1" fillId="2" borderId="37" xfId="15" applyFont="1" applyBorder="1" applyAlignment="1">
      <alignment horizontal="center"/>
      <protection/>
    </xf>
    <xf numFmtId="0" fontId="1" fillId="2" borderId="37" xfId="15" applyFont="1" applyBorder="1" applyAlignment="1">
      <alignment horizontal="center" wrapText="1"/>
      <protection/>
    </xf>
    <xf numFmtId="0" fontId="1" fillId="2" borderId="38" xfId="15" applyFont="1" applyBorder="1" applyAlignment="1">
      <alignment horizontal="center" wrapText="1"/>
      <protection/>
    </xf>
    <xf numFmtId="0" fontId="2" fillId="3" borderId="39" xfId="20" applyFont="1" applyBorder="1" applyAlignment="1">
      <alignment/>
    </xf>
    <xf numFmtId="0" fontId="0" fillId="3" borderId="39" xfId="20" applyFont="1" applyBorder="1" applyAlignment="1">
      <alignment vertical="center" wrapText="1"/>
    </xf>
    <xf numFmtId="37" fontId="0" fillId="2" borderId="40" xfId="15" applyNumberFormat="1" applyBorder="1" applyAlignment="1">
      <alignment horizontal="right" vertical="center"/>
      <protection/>
    </xf>
    <xf numFmtId="37" fontId="0" fillId="2" borderId="36" xfId="15" applyNumberFormat="1" applyBorder="1" applyAlignment="1">
      <alignment horizontal="right" vertical="center"/>
      <protection/>
    </xf>
    <xf numFmtId="0" fontId="0" fillId="6" borderId="5" xfId="0" applyFill="1" applyBorder="1" applyAlignment="1">
      <alignment horizontal="center" vertical="center"/>
    </xf>
    <xf numFmtId="37" fontId="0" fillId="6" borderId="27" xfId="0" applyNumberFormat="1" applyFill="1" applyBorder="1" applyAlignment="1">
      <alignment horizontal="right" vertical="center"/>
    </xf>
    <xf numFmtId="37" fontId="0" fillId="6" borderId="6" xfId="0" applyNumberFormat="1" applyFill="1" applyBorder="1" applyAlignment="1">
      <alignment horizontal="right" vertical="center"/>
    </xf>
    <xf numFmtId="37" fontId="0" fillId="6" borderId="5" xfId="0" applyNumberFormat="1" applyFill="1" applyBorder="1" applyAlignment="1">
      <alignment horizontal="right" vertical="center"/>
    </xf>
    <xf numFmtId="37" fontId="0" fillId="6" borderId="27" xfId="0" applyNumberFormat="1" applyFill="1" applyBorder="1" applyAlignment="1">
      <alignment horizontal="center" vertical="center"/>
    </xf>
    <xf numFmtId="0" fontId="0" fillId="2" borderId="6" xfId="15" applyFont="1" applyBorder="1" applyAlignment="1">
      <alignment horizontal="left" vertical="center"/>
      <protection/>
    </xf>
    <xf numFmtId="0" fontId="0" fillId="3" borderId="41" xfId="20" applyFont="1" applyBorder="1" applyAlignment="1">
      <alignment vertical="center" wrapText="1"/>
    </xf>
    <xf numFmtId="0" fontId="0" fillId="3" borderId="0" xfId="20" applyFont="1" applyAlignment="1">
      <alignment vertical="center" wrapText="1"/>
    </xf>
    <xf numFmtId="0" fontId="0" fillId="3" borderId="0" xfId="20" applyFont="1" applyBorder="1" applyAlignment="1">
      <alignment vertical="center" wrapText="1"/>
    </xf>
    <xf numFmtId="0" fontId="1" fillId="2" borderId="20" xfId="15" applyFont="1" applyBorder="1" applyAlignment="1">
      <alignment horizontal="center"/>
      <protection/>
    </xf>
    <xf numFmtId="0" fontId="1" fillId="2" borderId="42" xfId="15" applyFont="1" applyBorder="1" applyAlignment="1">
      <alignment horizontal="center" wrapText="1"/>
      <protection/>
    </xf>
    <xf numFmtId="0" fontId="1" fillId="2" borderId="10" xfId="15" applyFont="1" applyBorder="1" applyAlignment="1">
      <alignment horizontal="center" wrapText="1"/>
      <protection/>
    </xf>
    <xf numFmtId="0" fontId="1" fillId="2" borderId="21" xfId="15" applyFont="1" applyBorder="1" applyAlignment="1">
      <alignment horizontal="center" wrapText="1"/>
      <protection/>
    </xf>
    <xf numFmtId="0" fontId="1" fillId="2" borderId="21" xfId="15" applyFont="1" applyBorder="1" applyAlignment="1">
      <alignment horizontal="center"/>
      <protection/>
    </xf>
    <xf numFmtId="0" fontId="1" fillId="3" borderId="6" xfId="0" applyFont="1" applyFill="1" applyBorder="1" applyAlignment="1">
      <alignment horizontal="center" wrapText="1"/>
    </xf>
    <xf numFmtId="0" fontId="1" fillId="3" borderId="6" xfId="20" applyFont="1" applyFill="1" applyBorder="1" applyAlignment="1">
      <alignment horizontal="center" wrapText="1"/>
    </xf>
    <xf numFmtId="0" fontId="1" fillId="3" borderId="36" xfId="0" applyFont="1" applyFill="1" applyBorder="1" applyAlignment="1">
      <alignment horizontal="center" wrapText="1"/>
    </xf>
    <xf numFmtId="0" fontId="1" fillId="3" borderId="43" xfId="0" applyFont="1" applyFill="1" applyBorder="1" applyAlignment="1">
      <alignment horizontal="center" wrapText="1"/>
    </xf>
    <xf numFmtId="0" fontId="1" fillId="3" borderId="19" xfId="0" applyFont="1" applyFill="1" applyBorder="1" applyAlignment="1">
      <alignment horizontal="center" wrapText="1"/>
    </xf>
    <xf numFmtId="0" fontId="1" fillId="3" borderId="0" xfId="20" applyFont="1" applyAlignment="1">
      <alignment horizontal="center"/>
    </xf>
    <xf numFmtId="0" fontId="1" fillId="3" borderId="44" xfId="20" applyFont="1" applyBorder="1" applyAlignment="1">
      <alignment horizontal="center"/>
    </xf>
    <xf numFmtId="0" fontId="1" fillId="3" borderId="0" xfId="20" applyFont="1" applyBorder="1" applyAlignment="1">
      <alignment horizontal="center"/>
    </xf>
    <xf numFmtId="0" fontId="1" fillId="3" borderId="24" xfId="20" applyFont="1" applyBorder="1" applyAlignment="1">
      <alignment horizontal="center" wrapText="1"/>
    </xf>
    <xf numFmtId="0" fontId="5" fillId="3" borderId="12" xfId="20" applyFont="1" applyBorder="1" applyAlignment="1">
      <alignment horizontal="center"/>
    </xf>
    <xf numFmtId="0" fontId="5" fillId="3" borderId="45" xfId="20" applyFont="1" applyBorder="1" applyAlignment="1">
      <alignment horizontal="center"/>
    </xf>
    <xf numFmtId="0" fontId="1" fillId="3" borderId="22" xfId="20" applyFont="1" applyBorder="1" applyAlignment="1">
      <alignment horizontal="center"/>
    </xf>
    <xf numFmtId="0" fontId="1" fillId="3" borderId="14" xfId="20" applyFont="1" applyBorder="1" applyAlignment="1">
      <alignment horizontal="center"/>
    </xf>
    <xf numFmtId="0" fontId="1" fillId="3" borderId="27" xfId="20" applyFont="1" applyBorder="1" applyAlignment="1">
      <alignment horizontal="center"/>
    </xf>
    <xf numFmtId="0" fontId="1" fillId="3" borderId="15" xfId="20" applyFont="1" applyBorder="1" applyAlignment="1">
      <alignment horizontal="right" vertical="center" wrapText="1"/>
    </xf>
    <xf numFmtId="0" fontId="4" fillId="3" borderId="46" xfId="20" applyFont="1" applyBorder="1" applyAlignment="1">
      <alignment horizontal="center" vertical="center" wrapText="1"/>
    </xf>
    <xf numFmtId="0" fontId="4" fillId="3" borderId="12" xfId="20" applyFont="1" applyBorder="1" applyAlignment="1">
      <alignment horizontal="center" vertical="center" wrapText="1"/>
    </xf>
    <xf numFmtId="0" fontId="4" fillId="3" borderId="45" xfId="20" applyFont="1" applyBorder="1" applyAlignment="1">
      <alignment horizontal="center" vertical="center" wrapText="1"/>
    </xf>
    <xf numFmtId="0" fontId="1" fillId="3" borderId="0" xfId="20" applyFont="1" applyBorder="1" applyAlignment="1">
      <alignment horizontal="center" vertical="center" wrapText="1"/>
    </xf>
    <xf numFmtId="0" fontId="1" fillId="3" borderId="25" xfId="20" applyFont="1" applyBorder="1" applyAlignment="1">
      <alignment horizontal="center" vertical="center" wrapText="1"/>
    </xf>
    <xf numFmtId="0" fontId="3" fillId="3" borderId="39" xfId="20" applyFont="1" applyBorder="1" applyAlignment="1">
      <alignment horizontal="center" wrapText="1"/>
    </xf>
    <xf numFmtId="0" fontId="3" fillId="3" borderId="15" xfId="20" applyFont="1" applyBorder="1" applyAlignment="1">
      <alignment horizontal="center" wrapText="1"/>
    </xf>
  </cellXfs>
  <cellStyles count="8">
    <cellStyle name="Normal" xfId="0"/>
    <cellStyle name="calculated" xfId="15"/>
    <cellStyle name="Comma" xfId="16"/>
    <cellStyle name="Comma [0]" xfId="17"/>
    <cellStyle name="Currency" xfId="18"/>
    <cellStyle name="Currency [0]" xfId="19"/>
    <cellStyle name="fixed text"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7"/>
  <sheetViews>
    <sheetView workbookViewId="0" topLeftCell="A1">
      <selection activeCell="H7" sqref="H7"/>
    </sheetView>
  </sheetViews>
  <sheetFormatPr defaultColWidth="9.140625" defaultRowHeight="12.75"/>
  <cols>
    <col min="1" max="1" width="47.7109375" style="0" customWidth="1"/>
    <col min="2" max="2" width="3.00390625" style="0" customWidth="1"/>
    <col min="3" max="3" width="2.7109375" style="0" customWidth="1"/>
  </cols>
  <sheetData>
    <row r="1" spans="1:2" ht="38.25">
      <c r="A1" s="102" t="s">
        <v>120</v>
      </c>
      <c r="B1" s="2"/>
    </row>
    <row r="2" spans="1:2" ht="12.75">
      <c r="A2" s="102"/>
      <c r="B2" s="2"/>
    </row>
    <row r="3" spans="1:2" ht="137.25" customHeight="1">
      <c r="A3" s="117" t="s">
        <v>130</v>
      </c>
      <c r="B3" s="2"/>
    </row>
    <row r="4" spans="1:2" ht="12.75">
      <c r="A4" s="102"/>
      <c r="B4" s="2"/>
    </row>
    <row r="5" spans="1:2" ht="159.75" customHeight="1">
      <c r="A5" s="102" t="s">
        <v>121</v>
      </c>
      <c r="B5" s="2"/>
    </row>
    <row r="6" spans="1:2" ht="12.75">
      <c r="A6" s="29"/>
      <c r="B6" s="2"/>
    </row>
    <row r="7" spans="1:2" ht="38.25">
      <c r="A7" s="102" t="s">
        <v>122</v>
      </c>
      <c r="B7" s="2"/>
    </row>
    <row r="8" spans="1:2" ht="12.75">
      <c r="A8" s="29"/>
      <c r="B8" s="2"/>
    </row>
    <row r="9" spans="1:2" ht="89.25">
      <c r="A9" s="102" t="s">
        <v>124</v>
      </c>
      <c r="B9" s="2"/>
    </row>
    <row r="10" spans="1:2" ht="12.75">
      <c r="A10" s="29"/>
      <c r="B10" s="2"/>
    </row>
    <row r="11" spans="1:2" ht="68.25" customHeight="1">
      <c r="A11" s="102" t="s">
        <v>125</v>
      </c>
      <c r="B11" s="2"/>
    </row>
    <row r="12" spans="1:2" ht="12.75">
      <c r="A12" s="102"/>
      <c r="B12" s="2"/>
    </row>
    <row r="13" spans="1:2" ht="12.75">
      <c r="A13" s="14" t="s">
        <v>29</v>
      </c>
      <c r="B13" s="2"/>
    </row>
    <row r="14" spans="1:2" ht="12.75">
      <c r="A14" s="7" t="s">
        <v>126</v>
      </c>
      <c r="B14" s="2"/>
    </row>
    <row r="15" spans="1:2" ht="15">
      <c r="A15" s="115" t="s">
        <v>128</v>
      </c>
      <c r="B15" s="2"/>
    </row>
    <row r="16" spans="1:2" ht="12.75">
      <c r="A16" s="39" t="s">
        <v>127</v>
      </c>
      <c r="B16" s="2"/>
    </row>
    <row r="17" spans="1:2" ht="13.5" thickBot="1">
      <c r="A17" s="3"/>
      <c r="B17" s="4"/>
    </row>
    <row r="18" ht="13.5" thickTop="1"/>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6"/>
  <sheetViews>
    <sheetView workbookViewId="0" topLeftCell="A1">
      <selection activeCell="A5" sqref="A5"/>
    </sheetView>
  </sheetViews>
  <sheetFormatPr defaultColWidth="9.140625" defaultRowHeight="12.75"/>
  <cols>
    <col min="1" max="1" width="35.140625" style="0" customWidth="1"/>
    <col min="2" max="2" width="2.57421875" style="0" customWidth="1"/>
    <col min="3" max="3" width="3.00390625" style="0" customWidth="1"/>
  </cols>
  <sheetData>
    <row r="1" spans="1:2" ht="85.5" customHeight="1">
      <c r="A1" s="116" t="s">
        <v>131</v>
      </c>
      <c r="B1" s="2"/>
    </row>
    <row r="2" spans="1:2" ht="12.75">
      <c r="A2" s="106"/>
      <c r="B2" s="2"/>
    </row>
    <row r="3" spans="1:2" ht="118.5" customHeight="1">
      <c r="A3" s="107" t="s">
        <v>132</v>
      </c>
      <c r="B3" s="2"/>
    </row>
    <row r="4" spans="1:2" ht="11.25" customHeight="1">
      <c r="A4" s="101"/>
      <c r="B4" s="2"/>
    </row>
    <row r="5" spans="1:2" ht="135.75" customHeight="1">
      <c r="A5" s="118" t="s">
        <v>133</v>
      </c>
      <c r="B5" s="2"/>
    </row>
    <row r="6" spans="1:2" ht="13.5" thickBot="1">
      <c r="A6" s="3"/>
      <c r="B6" s="4"/>
    </row>
    <row r="7" ht="13.5" thickTop="1"/>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R96"/>
  <sheetViews>
    <sheetView workbookViewId="0" topLeftCell="A7">
      <selection activeCell="M66" sqref="M66"/>
    </sheetView>
  </sheetViews>
  <sheetFormatPr defaultColWidth="9.140625" defaultRowHeight="12.75"/>
  <cols>
    <col min="4" max="4" width="13.57421875" style="78" customWidth="1"/>
    <col min="5" max="5" width="45.7109375" style="0" customWidth="1"/>
    <col min="6" max="6" width="34.140625" style="0" customWidth="1"/>
    <col min="7" max="7" width="8.00390625" style="0" hidden="1" customWidth="1"/>
    <col min="8" max="8" width="7.8515625" style="0" hidden="1" customWidth="1"/>
    <col min="9" max="9" width="7.7109375" style="0" hidden="1" customWidth="1"/>
    <col min="10" max="10" width="9.140625" style="0" hidden="1" customWidth="1"/>
    <col min="11" max="11" width="9.57421875" style="0" hidden="1" customWidth="1"/>
    <col min="12" max="12" width="8.57421875" style="0" hidden="1" customWidth="1"/>
    <col min="13" max="13" width="26.8515625" style="0" customWidth="1"/>
    <col min="14" max="14" width="11.140625" style="0" customWidth="1"/>
    <col min="15" max="15" width="8.8515625" style="0" customWidth="1"/>
    <col min="16" max="16" width="8.57421875" style="0" customWidth="1"/>
    <col min="17" max="17" width="2.421875" style="0" customWidth="1"/>
  </cols>
  <sheetData>
    <row r="1" spans="1:17" ht="18" customHeight="1">
      <c r="A1" s="125" t="s">
        <v>0</v>
      </c>
      <c r="B1" s="124" t="s">
        <v>62</v>
      </c>
      <c r="C1" s="124" t="s">
        <v>63</v>
      </c>
      <c r="D1" s="124" t="s">
        <v>115</v>
      </c>
      <c r="E1" s="124" t="s">
        <v>50</v>
      </c>
      <c r="F1" s="124" t="s">
        <v>99</v>
      </c>
      <c r="G1" s="126" t="s">
        <v>113</v>
      </c>
      <c r="H1" s="127"/>
      <c r="I1" s="128"/>
      <c r="J1" s="126" t="s">
        <v>114</v>
      </c>
      <c r="K1" s="127"/>
      <c r="L1" s="128"/>
      <c r="M1" s="124" t="s">
        <v>123</v>
      </c>
      <c r="N1" s="124"/>
      <c r="O1" s="124"/>
      <c r="P1" s="124"/>
      <c r="Q1" s="12"/>
    </row>
    <row r="2" spans="1:18" ht="29.25" customHeight="1">
      <c r="A2" s="125"/>
      <c r="B2" s="124"/>
      <c r="C2" s="124"/>
      <c r="D2" s="124"/>
      <c r="E2" s="124"/>
      <c r="F2" s="124"/>
      <c r="G2" s="97" t="str">
        <f>N2</f>
        <v>control</v>
      </c>
      <c r="H2" s="97" t="str">
        <f>O2</f>
        <v>test 10 mg</v>
      </c>
      <c r="I2" s="97" t="str">
        <f>P2</f>
        <v>test 20 mg</v>
      </c>
      <c r="J2" s="97" t="str">
        <f>G2</f>
        <v>control</v>
      </c>
      <c r="K2" s="97" t="str">
        <f>H2</f>
        <v>test 10 mg</v>
      </c>
      <c r="L2" s="97" t="str">
        <f>I2</f>
        <v>test 20 mg</v>
      </c>
      <c r="M2" s="74" t="s">
        <v>112</v>
      </c>
      <c r="N2" s="99" t="s">
        <v>60</v>
      </c>
      <c r="O2" s="100" t="s">
        <v>59</v>
      </c>
      <c r="P2" s="100" t="s">
        <v>58</v>
      </c>
      <c r="Q2" s="98"/>
      <c r="R2" s="1"/>
    </row>
    <row r="3" spans="1:17" ht="12.75">
      <c r="A3" s="85">
        <v>22995004</v>
      </c>
      <c r="B3" s="85" t="s">
        <v>22</v>
      </c>
      <c r="C3" s="85" t="s">
        <v>22</v>
      </c>
      <c r="D3" s="85" t="s">
        <v>60</v>
      </c>
      <c r="E3" s="85" t="s">
        <v>42</v>
      </c>
      <c r="F3" s="85" t="s">
        <v>42</v>
      </c>
      <c r="G3" s="87">
        <f aca="true" t="shared" si="0" ref="G3:I22">IF(TRIM($D3)=G$2,1,0)</f>
        <v>1</v>
      </c>
      <c r="H3" s="87">
        <f t="shared" si="0"/>
        <v>0</v>
      </c>
      <c r="I3" s="87">
        <f t="shared" si="0"/>
        <v>0</v>
      </c>
      <c r="J3" s="87">
        <f aca="true" t="shared" si="1" ref="J3:J34">IF($F3&lt;&gt;$F2,G3,G3+J2)</f>
        <v>1</v>
      </c>
      <c r="K3" s="87">
        <f aca="true" t="shared" si="2" ref="K3:K34">IF($F3&lt;&gt;$F2,H3,H3+K2)</f>
        <v>0</v>
      </c>
      <c r="L3" s="87">
        <f aca="true" t="shared" si="3" ref="L3:L34">IF($F3&lt;&gt;$F2,I3,I3+L2)</f>
        <v>0</v>
      </c>
      <c r="M3" s="88">
        <f aca="true" t="shared" si="4" ref="M3:M34">IF(F3=F4,"",F3)</f>
      </c>
      <c r="N3" s="89">
        <f aca="true" t="shared" si="5" ref="N3:N34">IF($F3=$F4,"",J3)</f>
      </c>
      <c r="O3" s="89"/>
      <c r="P3" s="89"/>
      <c r="Q3" s="2"/>
    </row>
    <row r="4" spans="1:17" ht="12.75">
      <c r="A4" s="7">
        <v>14708007</v>
      </c>
      <c r="B4" s="7" t="s">
        <v>22</v>
      </c>
      <c r="C4" s="7" t="s">
        <v>20</v>
      </c>
      <c r="D4" s="7" t="s">
        <v>59</v>
      </c>
      <c r="E4" s="7" t="s">
        <v>42</v>
      </c>
      <c r="F4" s="7" t="s">
        <v>42</v>
      </c>
      <c r="G4" s="87">
        <f t="shared" si="0"/>
        <v>0</v>
      </c>
      <c r="H4" s="87">
        <f t="shared" si="0"/>
        <v>1</v>
      </c>
      <c r="I4" s="87">
        <f t="shared" si="0"/>
        <v>0</v>
      </c>
      <c r="J4" s="87">
        <f t="shared" si="1"/>
        <v>1</v>
      </c>
      <c r="K4" s="87">
        <f t="shared" si="2"/>
        <v>1</v>
      </c>
      <c r="L4" s="87">
        <f t="shared" si="3"/>
        <v>0</v>
      </c>
      <c r="M4" s="88" t="str">
        <f t="shared" si="4"/>
        <v>abdominal aortic aneurysm</v>
      </c>
      <c r="N4" s="89">
        <f t="shared" si="5"/>
        <v>1</v>
      </c>
      <c r="O4" s="89">
        <f aca="true" t="shared" si="6" ref="O4:O35">IF($F4=$F5,"",K4)</f>
        <v>1</v>
      </c>
      <c r="P4" s="89">
        <f aca="true" t="shared" si="7" ref="P4:P35">IF($F4=$F5,"",L4)</f>
        <v>0</v>
      </c>
      <c r="Q4" s="2"/>
    </row>
    <row r="5" spans="1:17" ht="12.75">
      <c r="A5" s="7">
        <v>3613033</v>
      </c>
      <c r="B5" s="7" t="s">
        <v>20</v>
      </c>
      <c r="C5" s="7" t="s">
        <v>20</v>
      </c>
      <c r="D5" s="7" t="s">
        <v>58</v>
      </c>
      <c r="E5" s="7" t="s">
        <v>14</v>
      </c>
      <c r="F5" s="7" t="s">
        <v>107</v>
      </c>
      <c r="G5" s="87">
        <f t="shared" si="0"/>
        <v>0</v>
      </c>
      <c r="H5" s="87">
        <f t="shared" si="0"/>
        <v>0</v>
      </c>
      <c r="I5" s="87">
        <f t="shared" si="0"/>
        <v>1</v>
      </c>
      <c r="J5" s="87">
        <f t="shared" si="1"/>
        <v>0</v>
      </c>
      <c r="K5" s="87">
        <f t="shared" si="2"/>
        <v>0</v>
      </c>
      <c r="L5" s="87">
        <f t="shared" si="3"/>
        <v>1</v>
      </c>
      <c r="M5" s="88">
        <f t="shared" si="4"/>
      </c>
      <c r="N5" s="89">
        <f t="shared" si="5"/>
      </c>
      <c r="O5" s="89">
        <f t="shared" si="6"/>
      </c>
      <c r="P5" s="89">
        <f t="shared" si="7"/>
      </c>
      <c r="Q5" s="2"/>
    </row>
    <row r="6" spans="1:17" ht="12.75">
      <c r="A6" s="7">
        <v>34439007</v>
      </c>
      <c r="B6" s="7" t="s">
        <v>22</v>
      </c>
      <c r="C6" s="7" t="s">
        <v>22</v>
      </c>
      <c r="D6" s="7" t="s">
        <v>58</v>
      </c>
      <c r="E6" s="7" t="s">
        <v>81</v>
      </c>
      <c r="F6" s="7" t="s">
        <v>107</v>
      </c>
      <c r="G6" s="87">
        <f t="shared" si="0"/>
        <v>0</v>
      </c>
      <c r="H6" s="87">
        <f t="shared" si="0"/>
        <v>0</v>
      </c>
      <c r="I6" s="87">
        <f t="shared" si="0"/>
        <v>1</v>
      </c>
      <c r="J6" s="87">
        <f t="shared" si="1"/>
        <v>0</v>
      </c>
      <c r="K6" s="87">
        <f t="shared" si="2"/>
        <v>0</v>
      </c>
      <c r="L6" s="87">
        <f t="shared" si="3"/>
        <v>2</v>
      </c>
      <c r="M6" s="88" t="str">
        <f t="shared" si="4"/>
        <v>arthritis/arthralgia</v>
      </c>
      <c r="N6" s="89">
        <f t="shared" si="5"/>
        <v>0</v>
      </c>
      <c r="O6" s="89">
        <f t="shared" si="6"/>
        <v>0</v>
      </c>
      <c r="P6" s="89">
        <f t="shared" si="7"/>
        <v>2</v>
      </c>
      <c r="Q6" s="2"/>
    </row>
    <row r="7" spans="1:17" ht="12.75">
      <c r="A7" s="7">
        <v>4678006</v>
      </c>
      <c r="B7" s="7" t="s">
        <v>20</v>
      </c>
      <c r="C7" s="7" t="s">
        <v>20</v>
      </c>
      <c r="D7" s="85" t="s">
        <v>60</v>
      </c>
      <c r="E7" s="7" t="s">
        <v>56</v>
      </c>
      <c r="F7" s="7" t="s">
        <v>103</v>
      </c>
      <c r="G7" s="87">
        <f t="shared" si="0"/>
        <v>1</v>
      </c>
      <c r="H7" s="87">
        <f t="shared" si="0"/>
        <v>0</v>
      </c>
      <c r="I7" s="87">
        <f t="shared" si="0"/>
        <v>0</v>
      </c>
      <c r="J7" s="87">
        <f t="shared" si="1"/>
        <v>1</v>
      </c>
      <c r="K7" s="87">
        <f t="shared" si="2"/>
        <v>0</v>
      </c>
      <c r="L7" s="87">
        <f t="shared" si="3"/>
        <v>0</v>
      </c>
      <c r="M7" s="88" t="str">
        <f t="shared" si="4"/>
        <v>atherosclerosis</v>
      </c>
      <c r="N7" s="89">
        <f t="shared" si="5"/>
        <v>1</v>
      </c>
      <c r="O7" s="89">
        <f t="shared" si="6"/>
        <v>0</v>
      </c>
      <c r="P7" s="89">
        <f t="shared" si="7"/>
        <v>0</v>
      </c>
      <c r="Q7" s="2"/>
    </row>
    <row r="8" spans="1:17" ht="12.75">
      <c r="A8" s="7">
        <v>24015006</v>
      </c>
      <c r="B8" s="7" t="s">
        <v>20</v>
      </c>
      <c r="C8" s="7" t="s">
        <v>20</v>
      </c>
      <c r="D8" s="7" t="s">
        <v>58</v>
      </c>
      <c r="E8" s="7" t="s">
        <v>6</v>
      </c>
      <c r="F8" s="7" t="s">
        <v>6</v>
      </c>
      <c r="G8" s="87">
        <f t="shared" si="0"/>
        <v>0</v>
      </c>
      <c r="H8" s="87">
        <f t="shared" si="0"/>
        <v>0</v>
      </c>
      <c r="I8" s="87">
        <f t="shared" si="0"/>
        <v>1</v>
      </c>
      <c r="J8" s="87">
        <f t="shared" si="1"/>
        <v>0</v>
      </c>
      <c r="K8" s="87">
        <f t="shared" si="2"/>
        <v>0</v>
      </c>
      <c r="L8" s="87">
        <f t="shared" si="3"/>
        <v>1</v>
      </c>
      <c r="M8" s="88" t="str">
        <f t="shared" si="4"/>
        <v>atrial fibrillation</v>
      </c>
      <c r="N8" s="89">
        <f t="shared" si="5"/>
        <v>0</v>
      </c>
      <c r="O8" s="89">
        <f t="shared" si="6"/>
        <v>0</v>
      </c>
      <c r="P8" s="89">
        <f t="shared" si="7"/>
        <v>1</v>
      </c>
      <c r="Q8" s="2"/>
    </row>
    <row r="9" spans="1:17" ht="12.75">
      <c r="A9" s="7">
        <v>22934004</v>
      </c>
      <c r="B9" s="7" t="s">
        <v>22</v>
      </c>
      <c r="C9" s="7" t="s">
        <v>20</v>
      </c>
      <c r="D9" s="7" t="s">
        <v>58</v>
      </c>
      <c r="E9" s="7" t="s">
        <v>5</v>
      </c>
      <c r="F9" s="7" t="s">
        <v>5</v>
      </c>
      <c r="G9" s="87">
        <f t="shared" si="0"/>
        <v>0</v>
      </c>
      <c r="H9" s="87">
        <f t="shared" si="0"/>
        <v>0</v>
      </c>
      <c r="I9" s="87">
        <f t="shared" si="0"/>
        <v>1</v>
      </c>
      <c r="J9" s="87">
        <f t="shared" si="1"/>
        <v>0</v>
      </c>
      <c r="K9" s="87">
        <f t="shared" si="2"/>
        <v>0</v>
      </c>
      <c r="L9" s="87">
        <f t="shared" si="3"/>
        <v>1</v>
      </c>
      <c r="M9" s="88" t="str">
        <f t="shared" si="4"/>
        <v>benign positional vertigo</v>
      </c>
      <c r="N9" s="89">
        <f t="shared" si="5"/>
        <v>0</v>
      </c>
      <c r="O9" s="89">
        <f t="shared" si="6"/>
        <v>0</v>
      </c>
      <c r="P9" s="89">
        <f t="shared" si="7"/>
        <v>1</v>
      </c>
      <c r="Q9" s="2"/>
    </row>
    <row r="10" spans="1:17" ht="12.75">
      <c r="A10" s="7">
        <v>8586008</v>
      </c>
      <c r="B10" s="7" t="s">
        <v>20</v>
      </c>
      <c r="C10" s="7" t="s">
        <v>20</v>
      </c>
      <c r="D10" s="7" t="s">
        <v>58</v>
      </c>
      <c r="E10" s="7" t="s">
        <v>49</v>
      </c>
      <c r="F10" s="7" t="s">
        <v>97</v>
      </c>
      <c r="G10" s="87">
        <f t="shared" si="0"/>
        <v>0</v>
      </c>
      <c r="H10" s="87">
        <f t="shared" si="0"/>
        <v>0</v>
      </c>
      <c r="I10" s="87">
        <f t="shared" si="0"/>
        <v>1</v>
      </c>
      <c r="J10" s="87">
        <f t="shared" si="1"/>
        <v>0</v>
      </c>
      <c r="K10" s="87">
        <f t="shared" si="2"/>
        <v>0</v>
      </c>
      <c r="L10" s="87">
        <f t="shared" si="3"/>
        <v>1</v>
      </c>
      <c r="M10" s="88" t="str">
        <f t="shared" si="4"/>
        <v>bradycardia</v>
      </c>
      <c r="N10" s="89">
        <f t="shared" si="5"/>
        <v>0</v>
      </c>
      <c r="O10" s="89">
        <f t="shared" si="6"/>
        <v>0</v>
      </c>
      <c r="P10" s="89">
        <f t="shared" si="7"/>
        <v>1</v>
      </c>
      <c r="Q10" s="2"/>
    </row>
    <row r="11" spans="1:17" ht="12.75">
      <c r="A11" s="7">
        <v>33447009</v>
      </c>
      <c r="B11" s="7" t="s">
        <v>22</v>
      </c>
      <c r="C11" s="7" t="s">
        <v>20</v>
      </c>
      <c r="D11" s="7" t="s">
        <v>58</v>
      </c>
      <c r="E11" s="7" t="s">
        <v>17</v>
      </c>
      <c r="F11" s="7" t="s">
        <v>17</v>
      </c>
      <c r="G11" s="87">
        <f t="shared" si="0"/>
        <v>0</v>
      </c>
      <c r="H11" s="87">
        <f t="shared" si="0"/>
        <v>0</v>
      </c>
      <c r="I11" s="87">
        <f t="shared" si="0"/>
        <v>1</v>
      </c>
      <c r="J11" s="87">
        <f t="shared" si="1"/>
        <v>0</v>
      </c>
      <c r="K11" s="87">
        <f t="shared" si="2"/>
        <v>0</v>
      </c>
      <c r="L11" s="87">
        <f t="shared" si="3"/>
        <v>1</v>
      </c>
      <c r="M11" s="88" t="str">
        <f t="shared" si="4"/>
        <v>cerebral edema</v>
      </c>
      <c r="N11" s="89">
        <f t="shared" si="5"/>
        <v>0</v>
      </c>
      <c r="O11" s="89">
        <f t="shared" si="6"/>
        <v>0</v>
      </c>
      <c r="P11" s="89">
        <f t="shared" si="7"/>
        <v>1</v>
      </c>
      <c r="Q11" s="2"/>
    </row>
    <row r="12" spans="1:17" ht="12.75">
      <c r="A12" s="7">
        <v>33426009</v>
      </c>
      <c r="B12" s="7" t="s">
        <v>22</v>
      </c>
      <c r="C12" s="7" t="s">
        <v>20</v>
      </c>
      <c r="D12" s="85" t="s">
        <v>60</v>
      </c>
      <c r="E12" s="7" t="s">
        <v>45</v>
      </c>
      <c r="F12" s="7" t="s">
        <v>45</v>
      </c>
      <c r="G12" s="87">
        <f t="shared" si="0"/>
        <v>1</v>
      </c>
      <c r="H12" s="87">
        <f t="shared" si="0"/>
        <v>0</v>
      </c>
      <c r="I12" s="87">
        <f t="shared" si="0"/>
        <v>0</v>
      </c>
      <c r="J12" s="87">
        <f t="shared" si="1"/>
        <v>1</v>
      </c>
      <c r="K12" s="87">
        <f t="shared" si="2"/>
        <v>0</v>
      </c>
      <c r="L12" s="87">
        <f t="shared" si="3"/>
        <v>0</v>
      </c>
      <c r="M12" s="88">
        <f t="shared" si="4"/>
      </c>
      <c r="N12" s="89">
        <f t="shared" si="5"/>
      </c>
      <c r="O12" s="89">
        <f t="shared" si="6"/>
      </c>
      <c r="P12" s="89">
        <f t="shared" si="7"/>
      </c>
      <c r="Q12" s="2"/>
    </row>
    <row r="13" spans="1:17" ht="12.75">
      <c r="A13" s="7">
        <v>21459008</v>
      </c>
      <c r="B13" s="7" t="s">
        <v>22</v>
      </c>
      <c r="C13" s="7" t="s">
        <v>22</v>
      </c>
      <c r="D13" s="7" t="s">
        <v>59</v>
      </c>
      <c r="E13" s="7" t="s">
        <v>2</v>
      </c>
      <c r="F13" s="7" t="s">
        <v>45</v>
      </c>
      <c r="G13" s="87">
        <f t="shared" si="0"/>
        <v>0</v>
      </c>
      <c r="H13" s="87">
        <f t="shared" si="0"/>
        <v>1</v>
      </c>
      <c r="I13" s="87">
        <f t="shared" si="0"/>
        <v>0</v>
      </c>
      <c r="J13" s="87">
        <f t="shared" si="1"/>
        <v>1</v>
      </c>
      <c r="K13" s="87">
        <f t="shared" si="2"/>
        <v>1</v>
      </c>
      <c r="L13" s="87">
        <f t="shared" si="3"/>
        <v>0</v>
      </c>
      <c r="M13" s="88">
        <f t="shared" si="4"/>
      </c>
      <c r="N13" s="89">
        <f t="shared" si="5"/>
      </c>
      <c r="O13" s="89">
        <f t="shared" si="6"/>
      </c>
      <c r="P13" s="89">
        <f t="shared" si="7"/>
      </c>
      <c r="Q13" s="2"/>
    </row>
    <row r="14" spans="1:17" ht="12.75">
      <c r="A14" s="7">
        <v>28011008</v>
      </c>
      <c r="B14" s="7" t="s">
        <v>22</v>
      </c>
      <c r="C14" s="7" t="s">
        <v>20</v>
      </c>
      <c r="D14" s="7" t="s">
        <v>59</v>
      </c>
      <c r="E14" s="7" t="s">
        <v>46</v>
      </c>
      <c r="F14" s="7" t="s">
        <v>45</v>
      </c>
      <c r="G14" s="87">
        <f t="shared" si="0"/>
        <v>0</v>
      </c>
      <c r="H14" s="87">
        <f t="shared" si="0"/>
        <v>1</v>
      </c>
      <c r="I14" s="87">
        <f t="shared" si="0"/>
        <v>0</v>
      </c>
      <c r="J14" s="87">
        <f t="shared" si="1"/>
        <v>1</v>
      </c>
      <c r="K14" s="87">
        <f t="shared" si="2"/>
        <v>2</v>
      </c>
      <c r="L14" s="87">
        <f t="shared" si="3"/>
        <v>0</v>
      </c>
      <c r="M14" s="88">
        <f t="shared" si="4"/>
      </c>
      <c r="N14" s="89">
        <f t="shared" si="5"/>
      </c>
      <c r="O14" s="89">
        <f t="shared" si="6"/>
      </c>
      <c r="P14" s="89">
        <f t="shared" si="7"/>
      </c>
      <c r="Q14" s="2"/>
    </row>
    <row r="15" spans="1:17" ht="12.75">
      <c r="A15" s="7">
        <v>34509002</v>
      </c>
      <c r="B15" s="7" t="s">
        <v>22</v>
      </c>
      <c r="C15" s="7" t="s">
        <v>20</v>
      </c>
      <c r="D15" s="7" t="s">
        <v>58</v>
      </c>
      <c r="E15" s="7" t="s">
        <v>2</v>
      </c>
      <c r="F15" s="7" t="s">
        <v>45</v>
      </c>
      <c r="G15" s="87">
        <f t="shared" si="0"/>
        <v>0</v>
      </c>
      <c r="H15" s="87">
        <f t="shared" si="0"/>
        <v>0</v>
      </c>
      <c r="I15" s="87">
        <f t="shared" si="0"/>
        <v>1</v>
      </c>
      <c r="J15" s="87">
        <f t="shared" si="1"/>
        <v>1</v>
      </c>
      <c r="K15" s="87">
        <f t="shared" si="2"/>
        <v>2</v>
      </c>
      <c r="L15" s="87">
        <f t="shared" si="3"/>
        <v>1</v>
      </c>
      <c r="M15" s="88" t="str">
        <f t="shared" si="4"/>
        <v>chest pain</v>
      </c>
      <c r="N15" s="89">
        <f t="shared" si="5"/>
        <v>1</v>
      </c>
      <c r="O15" s="89">
        <f t="shared" si="6"/>
        <v>2</v>
      </c>
      <c r="P15" s="89">
        <f t="shared" si="7"/>
        <v>1</v>
      </c>
      <c r="Q15" s="2"/>
    </row>
    <row r="16" spans="1:17" ht="12.75">
      <c r="A16" s="7">
        <v>12949003</v>
      </c>
      <c r="B16" s="7" t="s">
        <v>22</v>
      </c>
      <c r="C16" s="7" t="s">
        <v>22</v>
      </c>
      <c r="D16" s="7" t="s">
        <v>59</v>
      </c>
      <c r="E16" s="7" t="s">
        <v>18</v>
      </c>
      <c r="F16" s="7" t="s">
        <v>18</v>
      </c>
      <c r="G16" s="87">
        <f t="shared" si="0"/>
        <v>0</v>
      </c>
      <c r="H16" s="87">
        <f t="shared" si="0"/>
        <v>1</v>
      </c>
      <c r="I16" s="87">
        <f t="shared" si="0"/>
        <v>0</v>
      </c>
      <c r="J16" s="87">
        <f t="shared" si="1"/>
        <v>0</v>
      </c>
      <c r="K16" s="87">
        <f t="shared" si="2"/>
        <v>1</v>
      </c>
      <c r="L16" s="87">
        <f t="shared" si="3"/>
        <v>0</v>
      </c>
      <c r="M16" s="88">
        <f t="shared" si="4"/>
      </c>
      <c r="N16" s="89">
        <f t="shared" si="5"/>
      </c>
      <c r="O16" s="89">
        <f t="shared" si="6"/>
      </c>
      <c r="P16" s="89">
        <f t="shared" si="7"/>
      </c>
      <c r="Q16" s="2"/>
    </row>
    <row r="17" spans="1:17" ht="12.75">
      <c r="A17" s="7">
        <v>14708012</v>
      </c>
      <c r="B17" s="7" t="s">
        <v>22</v>
      </c>
      <c r="C17" s="7" t="s">
        <v>20</v>
      </c>
      <c r="D17" s="7" t="s">
        <v>59</v>
      </c>
      <c r="E17" s="7" t="s">
        <v>18</v>
      </c>
      <c r="F17" s="7" t="s">
        <v>18</v>
      </c>
      <c r="G17" s="87">
        <f t="shared" si="0"/>
        <v>0</v>
      </c>
      <c r="H17" s="87">
        <f t="shared" si="0"/>
        <v>1</v>
      </c>
      <c r="I17" s="87">
        <f t="shared" si="0"/>
        <v>0</v>
      </c>
      <c r="J17" s="87">
        <f t="shared" si="1"/>
        <v>0</v>
      </c>
      <c r="K17" s="87">
        <f t="shared" si="2"/>
        <v>2</v>
      </c>
      <c r="L17" s="87">
        <f t="shared" si="3"/>
        <v>0</v>
      </c>
      <c r="M17" s="88">
        <f t="shared" si="4"/>
      </c>
      <c r="N17" s="89">
        <f t="shared" si="5"/>
      </c>
      <c r="O17" s="89">
        <f t="shared" si="6"/>
      </c>
      <c r="P17" s="89">
        <f t="shared" si="7"/>
      </c>
      <c r="Q17" s="2"/>
    </row>
    <row r="18" spans="1:17" ht="12.75">
      <c r="A18" s="7">
        <v>35367008</v>
      </c>
      <c r="B18" s="7" t="s">
        <v>22</v>
      </c>
      <c r="C18" s="7" t="s">
        <v>20</v>
      </c>
      <c r="D18" s="7" t="s">
        <v>58</v>
      </c>
      <c r="E18" s="7" t="s">
        <v>18</v>
      </c>
      <c r="F18" s="7" t="s">
        <v>18</v>
      </c>
      <c r="G18" s="87">
        <f t="shared" si="0"/>
        <v>0</v>
      </c>
      <c r="H18" s="87">
        <f t="shared" si="0"/>
        <v>0</v>
      </c>
      <c r="I18" s="87">
        <f t="shared" si="0"/>
        <v>1</v>
      </c>
      <c r="J18" s="87">
        <f t="shared" si="1"/>
        <v>0</v>
      </c>
      <c r="K18" s="87">
        <f t="shared" si="2"/>
        <v>2</v>
      </c>
      <c r="L18" s="87">
        <f t="shared" si="3"/>
        <v>1</v>
      </c>
      <c r="M18" s="88" t="str">
        <f t="shared" si="4"/>
        <v>CHF</v>
      </c>
      <c r="N18" s="89">
        <f t="shared" si="5"/>
        <v>0</v>
      </c>
      <c r="O18" s="89">
        <f t="shared" si="6"/>
        <v>2</v>
      </c>
      <c r="P18" s="89">
        <f t="shared" si="7"/>
        <v>1</v>
      </c>
      <c r="Q18" s="2"/>
    </row>
    <row r="19" spans="1:17" ht="12.75">
      <c r="A19" s="7">
        <v>13632010</v>
      </c>
      <c r="B19" s="7" t="s">
        <v>20</v>
      </c>
      <c r="C19" s="7" t="s">
        <v>20</v>
      </c>
      <c r="D19" s="85" t="s">
        <v>60</v>
      </c>
      <c r="E19" s="7" t="s">
        <v>43</v>
      </c>
      <c r="F19" s="7" t="s">
        <v>100</v>
      </c>
      <c r="G19" s="87">
        <f t="shared" si="0"/>
        <v>1</v>
      </c>
      <c r="H19" s="87">
        <f t="shared" si="0"/>
        <v>0</v>
      </c>
      <c r="I19" s="87">
        <f t="shared" si="0"/>
        <v>0</v>
      </c>
      <c r="J19" s="87">
        <f t="shared" si="1"/>
        <v>1</v>
      </c>
      <c r="K19" s="87">
        <f t="shared" si="2"/>
        <v>0</v>
      </c>
      <c r="L19" s="87">
        <f t="shared" si="3"/>
        <v>0</v>
      </c>
      <c r="M19" s="88">
        <f t="shared" si="4"/>
      </c>
      <c r="N19" s="89">
        <f t="shared" si="5"/>
      </c>
      <c r="O19" s="89">
        <f t="shared" si="6"/>
      </c>
      <c r="P19" s="89">
        <f t="shared" si="7"/>
      </c>
      <c r="Q19" s="2"/>
    </row>
    <row r="20" spans="1:17" ht="12.75">
      <c r="A20" s="7">
        <v>18538011</v>
      </c>
      <c r="B20" s="7" t="s">
        <v>22</v>
      </c>
      <c r="C20" s="7" t="s">
        <v>22</v>
      </c>
      <c r="D20" s="85" t="s">
        <v>60</v>
      </c>
      <c r="E20" s="7" t="s">
        <v>73</v>
      </c>
      <c r="F20" s="7" t="s">
        <v>100</v>
      </c>
      <c r="G20" s="87">
        <f t="shared" si="0"/>
        <v>1</v>
      </c>
      <c r="H20" s="87">
        <f t="shared" si="0"/>
        <v>0</v>
      </c>
      <c r="I20" s="87">
        <f t="shared" si="0"/>
        <v>0</v>
      </c>
      <c r="J20" s="87">
        <f t="shared" si="1"/>
        <v>2</v>
      </c>
      <c r="K20" s="87">
        <f t="shared" si="2"/>
        <v>0</v>
      </c>
      <c r="L20" s="87">
        <f t="shared" si="3"/>
        <v>0</v>
      </c>
      <c r="M20" s="88">
        <f t="shared" si="4"/>
      </c>
      <c r="N20" s="89">
        <f t="shared" si="5"/>
      </c>
      <c r="O20" s="89">
        <f t="shared" si="6"/>
      </c>
      <c r="P20" s="89">
        <f t="shared" si="7"/>
      </c>
      <c r="Q20" s="2"/>
    </row>
    <row r="21" spans="1:17" ht="12.75">
      <c r="A21" s="7">
        <v>22438003</v>
      </c>
      <c r="B21" s="7" t="s">
        <v>22</v>
      </c>
      <c r="C21" s="7" t="s">
        <v>20</v>
      </c>
      <c r="D21" s="85" t="s">
        <v>60</v>
      </c>
      <c r="E21" s="7" t="s">
        <v>67</v>
      </c>
      <c r="F21" s="7" t="s">
        <v>100</v>
      </c>
      <c r="G21" s="87">
        <f t="shared" si="0"/>
        <v>1</v>
      </c>
      <c r="H21" s="87">
        <f t="shared" si="0"/>
        <v>0</v>
      </c>
      <c r="I21" s="87">
        <f t="shared" si="0"/>
        <v>0</v>
      </c>
      <c r="J21" s="87">
        <f t="shared" si="1"/>
        <v>3</v>
      </c>
      <c r="K21" s="87">
        <f t="shared" si="2"/>
        <v>0</v>
      </c>
      <c r="L21" s="87">
        <f t="shared" si="3"/>
        <v>0</v>
      </c>
      <c r="M21" s="88" t="str">
        <f t="shared" si="4"/>
        <v>cholecystitis</v>
      </c>
      <c r="N21" s="89">
        <f t="shared" si="5"/>
        <v>3</v>
      </c>
      <c r="O21" s="89">
        <f t="shared" si="6"/>
        <v>0</v>
      </c>
      <c r="P21" s="89">
        <f t="shared" si="7"/>
        <v>0</v>
      </c>
      <c r="Q21" s="2"/>
    </row>
    <row r="22" spans="1:17" ht="12.75">
      <c r="A22" s="7">
        <v>13624005</v>
      </c>
      <c r="B22" s="7" t="s">
        <v>22</v>
      </c>
      <c r="C22" s="7" t="s">
        <v>20</v>
      </c>
      <c r="D22" s="85" t="s">
        <v>60</v>
      </c>
      <c r="E22" s="7" t="s">
        <v>74</v>
      </c>
      <c r="F22" s="7" t="s">
        <v>74</v>
      </c>
      <c r="G22" s="87">
        <f t="shared" si="0"/>
        <v>1</v>
      </c>
      <c r="H22" s="87">
        <f t="shared" si="0"/>
        <v>0</v>
      </c>
      <c r="I22" s="87">
        <f t="shared" si="0"/>
        <v>0</v>
      </c>
      <c r="J22" s="87">
        <f t="shared" si="1"/>
        <v>1</v>
      </c>
      <c r="K22" s="87">
        <f t="shared" si="2"/>
        <v>0</v>
      </c>
      <c r="L22" s="87">
        <f t="shared" si="3"/>
        <v>0</v>
      </c>
      <c r="M22" s="88">
        <f t="shared" si="4"/>
      </c>
      <c r="N22" s="89">
        <f t="shared" si="5"/>
      </c>
      <c r="O22" s="89">
        <f t="shared" si="6"/>
      </c>
      <c r="P22" s="89">
        <f t="shared" si="7"/>
      </c>
      <c r="Q22" s="2"/>
    </row>
    <row r="23" spans="1:17" ht="12.75">
      <c r="A23" s="7">
        <v>29029002</v>
      </c>
      <c r="B23" s="7" t="s">
        <v>20</v>
      </c>
      <c r="C23" s="7" t="s">
        <v>20</v>
      </c>
      <c r="D23" s="7" t="s">
        <v>59</v>
      </c>
      <c r="E23" s="7" t="s">
        <v>74</v>
      </c>
      <c r="F23" s="7" t="s">
        <v>74</v>
      </c>
      <c r="G23" s="87">
        <f aca="true" t="shared" si="8" ref="G23:I42">IF(TRIM($D23)=G$2,1,0)</f>
        <v>0</v>
      </c>
      <c r="H23" s="87">
        <f t="shared" si="8"/>
        <v>1</v>
      </c>
      <c r="I23" s="87">
        <f t="shared" si="8"/>
        <v>0</v>
      </c>
      <c r="J23" s="87">
        <f t="shared" si="1"/>
        <v>1</v>
      </c>
      <c r="K23" s="87">
        <f t="shared" si="2"/>
        <v>1</v>
      </c>
      <c r="L23" s="87">
        <f t="shared" si="3"/>
        <v>0</v>
      </c>
      <c r="M23" s="88">
        <f t="shared" si="4"/>
      </c>
      <c r="N23" s="89">
        <f t="shared" si="5"/>
      </c>
      <c r="O23" s="89">
        <f t="shared" si="6"/>
      </c>
      <c r="P23" s="89">
        <f t="shared" si="7"/>
      </c>
      <c r="Q23" s="2"/>
    </row>
    <row r="24" spans="1:17" ht="12.75">
      <c r="A24" s="7">
        <v>34710005</v>
      </c>
      <c r="B24" s="7" t="s">
        <v>20</v>
      </c>
      <c r="C24" s="7" t="s">
        <v>20</v>
      </c>
      <c r="D24" s="7" t="s">
        <v>59</v>
      </c>
      <c r="E24" s="7" t="s">
        <v>74</v>
      </c>
      <c r="F24" s="7" t="s">
        <v>74</v>
      </c>
      <c r="G24" s="87">
        <f t="shared" si="8"/>
        <v>0</v>
      </c>
      <c r="H24" s="87">
        <f t="shared" si="8"/>
        <v>1</v>
      </c>
      <c r="I24" s="87">
        <f t="shared" si="8"/>
        <v>0</v>
      </c>
      <c r="J24" s="87">
        <f t="shared" si="1"/>
        <v>1</v>
      </c>
      <c r="K24" s="87">
        <f t="shared" si="2"/>
        <v>2</v>
      </c>
      <c r="L24" s="87">
        <f t="shared" si="3"/>
        <v>0</v>
      </c>
      <c r="M24" s="88" t="str">
        <f t="shared" si="4"/>
        <v>coronary artery disease</v>
      </c>
      <c r="N24" s="89">
        <f t="shared" si="5"/>
        <v>1</v>
      </c>
      <c r="O24" s="89">
        <f t="shared" si="6"/>
        <v>2</v>
      </c>
      <c r="P24" s="89">
        <f t="shared" si="7"/>
        <v>0</v>
      </c>
      <c r="Q24" s="2"/>
    </row>
    <row r="25" spans="1:17" ht="12.75">
      <c r="A25" s="7">
        <v>19496001</v>
      </c>
      <c r="B25" s="7" t="s">
        <v>22</v>
      </c>
      <c r="C25" s="7" t="s">
        <v>20</v>
      </c>
      <c r="D25" s="7" t="s">
        <v>58</v>
      </c>
      <c r="E25" s="7" t="s">
        <v>87</v>
      </c>
      <c r="F25" s="7" t="s">
        <v>111</v>
      </c>
      <c r="G25" s="87">
        <f t="shared" si="8"/>
        <v>0</v>
      </c>
      <c r="H25" s="87">
        <f t="shared" si="8"/>
        <v>0</v>
      </c>
      <c r="I25" s="87">
        <f t="shared" si="8"/>
        <v>1</v>
      </c>
      <c r="J25" s="87">
        <f t="shared" si="1"/>
        <v>0</v>
      </c>
      <c r="K25" s="87">
        <f t="shared" si="2"/>
        <v>0</v>
      </c>
      <c r="L25" s="87">
        <f t="shared" si="3"/>
        <v>1</v>
      </c>
      <c r="M25" s="88" t="str">
        <f t="shared" si="4"/>
        <v>CVA</v>
      </c>
      <c r="N25" s="89">
        <f t="shared" si="5"/>
        <v>0</v>
      </c>
      <c r="O25" s="89">
        <f t="shared" si="6"/>
        <v>0</v>
      </c>
      <c r="P25" s="89">
        <f t="shared" si="7"/>
        <v>1</v>
      </c>
      <c r="Q25" s="2"/>
    </row>
    <row r="26" spans="1:17" ht="12.75">
      <c r="A26" s="7">
        <v>15824004</v>
      </c>
      <c r="B26" s="7" t="s">
        <v>22</v>
      </c>
      <c r="C26" s="7" t="s">
        <v>20</v>
      </c>
      <c r="D26" s="85" t="s">
        <v>60</v>
      </c>
      <c r="E26" s="7" t="s">
        <v>51</v>
      </c>
      <c r="F26" s="7" t="s">
        <v>51</v>
      </c>
      <c r="G26" s="87">
        <f t="shared" si="8"/>
        <v>1</v>
      </c>
      <c r="H26" s="87">
        <f t="shared" si="8"/>
        <v>0</v>
      </c>
      <c r="I26" s="87">
        <f t="shared" si="8"/>
        <v>0</v>
      </c>
      <c r="J26" s="87">
        <f t="shared" si="1"/>
        <v>1</v>
      </c>
      <c r="K26" s="87">
        <f t="shared" si="2"/>
        <v>0</v>
      </c>
      <c r="L26" s="87">
        <f t="shared" si="3"/>
        <v>0</v>
      </c>
      <c r="M26" s="88">
        <f t="shared" si="4"/>
      </c>
      <c r="N26" s="89">
        <f t="shared" si="5"/>
      </c>
      <c r="O26" s="89">
        <f t="shared" si="6"/>
      </c>
      <c r="P26" s="89">
        <f t="shared" si="7"/>
      </c>
      <c r="Q26" s="2"/>
    </row>
    <row r="27" spans="1:17" ht="12.75">
      <c r="A27" s="7">
        <v>21219013</v>
      </c>
      <c r="B27" s="7" t="s">
        <v>20</v>
      </c>
      <c r="C27" s="7" t="s">
        <v>20</v>
      </c>
      <c r="D27" s="85" t="s">
        <v>60</v>
      </c>
      <c r="E27" s="7" t="s">
        <v>75</v>
      </c>
      <c r="F27" s="7" t="s">
        <v>51</v>
      </c>
      <c r="G27" s="87">
        <f t="shared" si="8"/>
        <v>1</v>
      </c>
      <c r="H27" s="87">
        <f t="shared" si="8"/>
        <v>0</v>
      </c>
      <c r="I27" s="87">
        <f t="shared" si="8"/>
        <v>0</v>
      </c>
      <c r="J27" s="87">
        <f t="shared" si="1"/>
        <v>2</v>
      </c>
      <c r="K27" s="87">
        <f t="shared" si="2"/>
        <v>0</v>
      </c>
      <c r="L27" s="87">
        <f t="shared" si="3"/>
        <v>0</v>
      </c>
      <c r="M27" s="88">
        <f t="shared" si="4"/>
      </c>
      <c r="N27" s="89">
        <f t="shared" si="5"/>
      </c>
      <c r="O27" s="89">
        <f t="shared" si="6"/>
      </c>
      <c r="P27" s="89">
        <f t="shared" si="7"/>
      </c>
      <c r="Q27" s="2"/>
    </row>
    <row r="28" spans="1:17" ht="12.75">
      <c r="A28" s="7">
        <v>33392002</v>
      </c>
      <c r="B28" s="7" t="s">
        <v>22</v>
      </c>
      <c r="C28" s="7" t="s">
        <v>22</v>
      </c>
      <c r="D28" s="7" t="s">
        <v>59</v>
      </c>
      <c r="E28" s="7" t="s">
        <v>76</v>
      </c>
      <c r="F28" s="7" t="s">
        <v>51</v>
      </c>
      <c r="G28" s="87">
        <f t="shared" si="8"/>
        <v>0</v>
      </c>
      <c r="H28" s="87">
        <f t="shared" si="8"/>
        <v>1</v>
      </c>
      <c r="I28" s="87">
        <f t="shared" si="8"/>
        <v>0</v>
      </c>
      <c r="J28" s="87">
        <f t="shared" si="1"/>
        <v>2</v>
      </c>
      <c r="K28" s="87">
        <f t="shared" si="2"/>
        <v>1</v>
      </c>
      <c r="L28" s="87">
        <f t="shared" si="3"/>
        <v>0</v>
      </c>
      <c r="M28" s="88" t="str">
        <f t="shared" si="4"/>
        <v>death</v>
      </c>
      <c r="N28" s="89">
        <f t="shared" si="5"/>
        <v>2</v>
      </c>
      <c r="O28" s="89">
        <f t="shared" si="6"/>
        <v>1</v>
      </c>
      <c r="P28" s="89">
        <f t="shared" si="7"/>
        <v>0</v>
      </c>
      <c r="Q28" s="2"/>
    </row>
    <row r="29" spans="1:17" ht="12.75">
      <c r="A29" s="7">
        <v>21459049</v>
      </c>
      <c r="B29" s="7" t="s">
        <v>20</v>
      </c>
      <c r="C29" s="7" t="s">
        <v>20</v>
      </c>
      <c r="D29" s="7" t="s">
        <v>59</v>
      </c>
      <c r="E29" s="7" t="s">
        <v>55</v>
      </c>
      <c r="F29" s="7" t="s">
        <v>55</v>
      </c>
      <c r="G29" s="87">
        <f t="shared" si="8"/>
        <v>0</v>
      </c>
      <c r="H29" s="87">
        <f t="shared" si="8"/>
        <v>1</v>
      </c>
      <c r="I29" s="87">
        <f t="shared" si="8"/>
        <v>0</v>
      </c>
      <c r="J29" s="87">
        <f t="shared" si="1"/>
        <v>0</v>
      </c>
      <c r="K29" s="87">
        <f t="shared" si="2"/>
        <v>1</v>
      </c>
      <c r="L29" s="87">
        <f t="shared" si="3"/>
        <v>0</v>
      </c>
      <c r="M29" s="88" t="str">
        <f t="shared" si="4"/>
        <v>dehydration</v>
      </c>
      <c r="N29" s="89">
        <f t="shared" si="5"/>
        <v>0</v>
      </c>
      <c r="O29" s="89">
        <f t="shared" si="6"/>
        <v>1</v>
      </c>
      <c r="P29" s="89">
        <f t="shared" si="7"/>
        <v>0</v>
      </c>
      <c r="Q29" s="2"/>
    </row>
    <row r="30" spans="1:17" ht="12.75">
      <c r="A30" s="7">
        <v>34532002</v>
      </c>
      <c r="B30" s="7" t="s">
        <v>20</v>
      </c>
      <c r="C30" s="7" t="s">
        <v>20</v>
      </c>
      <c r="D30" s="85" t="s">
        <v>60</v>
      </c>
      <c r="E30" s="7" t="s">
        <v>19</v>
      </c>
      <c r="F30" s="7" t="s">
        <v>19</v>
      </c>
      <c r="G30" s="87">
        <f t="shared" si="8"/>
        <v>1</v>
      </c>
      <c r="H30" s="87">
        <f t="shared" si="8"/>
        <v>0</v>
      </c>
      <c r="I30" s="87">
        <f t="shared" si="8"/>
        <v>0</v>
      </c>
      <c r="J30" s="87">
        <f t="shared" si="1"/>
        <v>1</v>
      </c>
      <c r="K30" s="87">
        <f t="shared" si="2"/>
        <v>0</v>
      </c>
      <c r="L30" s="87">
        <f t="shared" si="3"/>
        <v>0</v>
      </c>
      <c r="M30" s="88">
        <f t="shared" si="4"/>
      </c>
      <c r="N30" s="89">
        <f t="shared" si="5"/>
      </c>
      <c r="O30" s="89">
        <f t="shared" si="6"/>
      </c>
      <c r="P30" s="89">
        <f t="shared" si="7"/>
      </c>
      <c r="Q30" s="2"/>
    </row>
    <row r="31" spans="1:17" ht="12.75">
      <c r="A31" s="7">
        <v>3613015</v>
      </c>
      <c r="B31" s="7" t="s">
        <v>20</v>
      </c>
      <c r="C31" s="7" t="s">
        <v>20</v>
      </c>
      <c r="D31" s="7" t="s">
        <v>59</v>
      </c>
      <c r="E31" s="7" t="s">
        <v>19</v>
      </c>
      <c r="F31" s="7" t="s">
        <v>19</v>
      </c>
      <c r="G31" s="87">
        <f t="shared" si="8"/>
        <v>0</v>
      </c>
      <c r="H31" s="87">
        <f t="shared" si="8"/>
        <v>1</v>
      </c>
      <c r="I31" s="87">
        <f t="shared" si="8"/>
        <v>0</v>
      </c>
      <c r="J31" s="87">
        <f t="shared" si="1"/>
        <v>1</v>
      </c>
      <c r="K31" s="87">
        <f t="shared" si="2"/>
        <v>1</v>
      </c>
      <c r="L31" s="87">
        <f t="shared" si="3"/>
        <v>0</v>
      </c>
      <c r="M31" s="88" t="str">
        <f t="shared" si="4"/>
        <v>diverticulitis</v>
      </c>
      <c r="N31" s="89">
        <f t="shared" si="5"/>
        <v>1</v>
      </c>
      <c r="O31" s="89">
        <f t="shared" si="6"/>
        <v>1</v>
      </c>
      <c r="P31" s="89">
        <f t="shared" si="7"/>
        <v>0</v>
      </c>
      <c r="Q31" s="2"/>
    </row>
    <row r="32" spans="1:17" ht="12.75">
      <c r="A32" s="7">
        <v>1920011</v>
      </c>
      <c r="B32" s="7" t="s">
        <v>20</v>
      </c>
      <c r="C32" s="7" t="s">
        <v>20</v>
      </c>
      <c r="D32" s="7" t="s">
        <v>58</v>
      </c>
      <c r="E32" s="7" t="s">
        <v>77</v>
      </c>
      <c r="F32" s="7" t="s">
        <v>77</v>
      </c>
      <c r="G32" s="87">
        <f t="shared" si="8"/>
        <v>0</v>
      </c>
      <c r="H32" s="87">
        <f t="shared" si="8"/>
        <v>0</v>
      </c>
      <c r="I32" s="87">
        <f t="shared" si="8"/>
        <v>1</v>
      </c>
      <c r="J32" s="87">
        <f t="shared" si="1"/>
        <v>0</v>
      </c>
      <c r="K32" s="87">
        <f t="shared" si="2"/>
        <v>0</v>
      </c>
      <c r="L32" s="87">
        <f t="shared" si="3"/>
        <v>1</v>
      </c>
      <c r="M32" s="88" t="str">
        <f t="shared" si="4"/>
        <v>embolism, left kidney</v>
      </c>
      <c r="N32" s="89">
        <f t="shared" si="5"/>
        <v>0</v>
      </c>
      <c r="O32" s="89">
        <f t="shared" si="6"/>
        <v>0</v>
      </c>
      <c r="P32" s="89">
        <f t="shared" si="7"/>
        <v>1</v>
      </c>
      <c r="Q32" s="2"/>
    </row>
    <row r="33" spans="1:17" ht="12.75">
      <c r="A33" s="7">
        <v>22438007</v>
      </c>
      <c r="B33" s="7" t="s">
        <v>20</v>
      </c>
      <c r="C33" s="7" t="s">
        <v>20</v>
      </c>
      <c r="D33" s="85" t="s">
        <v>60</v>
      </c>
      <c r="E33" s="7" t="s">
        <v>13</v>
      </c>
      <c r="F33" s="7" t="s">
        <v>110</v>
      </c>
      <c r="G33" s="87">
        <f t="shared" si="8"/>
        <v>1</v>
      </c>
      <c r="H33" s="87">
        <f t="shared" si="8"/>
        <v>0</v>
      </c>
      <c r="I33" s="87">
        <f t="shared" si="8"/>
        <v>0</v>
      </c>
      <c r="J33" s="87">
        <f t="shared" si="1"/>
        <v>1</v>
      </c>
      <c r="K33" s="87">
        <f t="shared" si="2"/>
        <v>0</v>
      </c>
      <c r="L33" s="87">
        <f t="shared" si="3"/>
        <v>0</v>
      </c>
      <c r="M33" s="88">
        <f t="shared" si="4"/>
      </c>
      <c r="N33" s="89">
        <f t="shared" si="5"/>
      </c>
      <c r="O33" s="89">
        <f t="shared" si="6"/>
      </c>
      <c r="P33" s="89">
        <f t="shared" si="7"/>
      </c>
      <c r="Q33" s="2"/>
    </row>
    <row r="34" spans="1:17" ht="12.75">
      <c r="A34" s="7">
        <v>34532001</v>
      </c>
      <c r="B34" s="7" t="s">
        <v>20</v>
      </c>
      <c r="C34" s="7" t="s">
        <v>20</v>
      </c>
      <c r="D34" s="7" t="s">
        <v>58</v>
      </c>
      <c r="E34" s="7" t="s">
        <v>89</v>
      </c>
      <c r="F34" s="7" t="s">
        <v>110</v>
      </c>
      <c r="G34" s="87">
        <f t="shared" si="8"/>
        <v>0</v>
      </c>
      <c r="H34" s="87">
        <f t="shared" si="8"/>
        <v>0</v>
      </c>
      <c r="I34" s="87">
        <f t="shared" si="8"/>
        <v>1</v>
      </c>
      <c r="J34" s="87">
        <f t="shared" si="1"/>
        <v>1</v>
      </c>
      <c r="K34" s="87">
        <f t="shared" si="2"/>
        <v>0</v>
      </c>
      <c r="L34" s="87">
        <f t="shared" si="3"/>
        <v>1</v>
      </c>
      <c r="M34" s="88" t="str">
        <f t="shared" si="4"/>
        <v>GI bleeding</v>
      </c>
      <c r="N34" s="89">
        <f t="shared" si="5"/>
        <v>1</v>
      </c>
      <c r="O34" s="89">
        <f t="shared" si="6"/>
        <v>0</v>
      </c>
      <c r="P34" s="89">
        <f t="shared" si="7"/>
        <v>1</v>
      </c>
      <c r="Q34" s="2"/>
    </row>
    <row r="35" spans="1:17" ht="12.75">
      <c r="A35" s="7">
        <v>11085001</v>
      </c>
      <c r="B35" s="7" t="s">
        <v>22</v>
      </c>
      <c r="C35" s="7" t="s">
        <v>20</v>
      </c>
      <c r="D35" s="85" t="s">
        <v>60</v>
      </c>
      <c r="E35" s="7" t="s">
        <v>80</v>
      </c>
      <c r="F35" s="7" t="s">
        <v>106</v>
      </c>
      <c r="G35" s="87">
        <f t="shared" si="8"/>
        <v>1</v>
      </c>
      <c r="H35" s="87">
        <f t="shared" si="8"/>
        <v>0</v>
      </c>
      <c r="I35" s="87">
        <f t="shared" si="8"/>
        <v>0</v>
      </c>
      <c r="J35" s="87">
        <f aca="true" t="shared" si="9" ref="J35:J66">IF($F35&lt;&gt;$F34,G35,G35+J34)</f>
        <v>1</v>
      </c>
      <c r="K35" s="87">
        <f aca="true" t="shared" si="10" ref="K35:K66">IF($F35&lt;&gt;$F34,H35,H35+K34)</f>
        <v>0</v>
      </c>
      <c r="L35" s="87">
        <f aca="true" t="shared" si="11" ref="L35:L66">IF($F35&lt;&gt;$F34,I35,I35+L34)</f>
        <v>0</v>
      </c>
      <c r="M35" s="88">
        <f aca="true" t="shared" si="12" ref="M35:M66">IF(F35=F36,"",F35)</f>
      </c>
      <c r="N35" s="89">
        <f aca="true" t="shared" si="13" ref="N35:N66">IF($F35=$F36,"",J35)</f>
      </c>
      <c r="O35" s="89">
        <f t="shared" si="6"/>
      </c>
      <c r="P35" s="89">
        <f t="shared" si="7"/>
      </c>
      <c r="Q35" s="2"/>
    </row>
    <row r="36" spans="1:17" ht="12.75">
      <c r="A36" s="7">
        <v>34715001</v>
      </c>
      <c r="B36" s="7" t="s">
        <v>20</v>
      </c>
      <c r="C36" s="7" t="s">
        <v>20</v>
      </c>
      <c r="D36" s="7" t="s">
        <v>58</v>
      </c>
      <c r="E36" s="7" t="s">
        <v>1</v>
      </c>
      <c r="F36" s="7" t="s">
        <v>106</v>
      </c>
      <c r="G36" s="87">
        <f t="shared" si="8"/>
        <v>0</v>
      </c>
      <c r="H36" s="87">
        <f t="shared" si="8"/>
        <v>0</v>
      </c>
      <c r="I36" s="87">
        <f t="shared" si="8"/>
        <v>1</v>
      </c>
      <c r="J36" s="87">
        <f t="shared" si="9"/>
        <v>1</v>
      </c>
      <c r="K36" s="87">
        <f t="shared" si="10"/>
        <v>0</v>
      </c>
      <c r="L36" s="87">
        <f t="shared" si="11"/>
        <v>1</v>
      </c>
      <c r="M36" s="88" t="str">
        <f t="shared" si="12"/>
        <v>gout</v>
      </c>
      <c r="N36" s="89">
        <f t="shared" si="13"/>
        <v>1</v>
      </c>
      <c r="O36" s="89">
        <f aca="true" t="shared" si="14" ref="O36:O67">IF($F36=$F37,"",K36)</f>
        <v>0</v>
      </c>
      <c r="P36" s="89">
        <f aca="true" t="shared" si="15" ref="P36:P67">IF($F36=$F37,"",L36)</f>
        <v>1</v>
      </c>
      <c r="Q36" s="2"/>
    </row>
    <row r="37" spans="1:17" ht="12.75">
      <c r="A37" s="7">
        <v>8586005</v>
      </c>
      <c r="B37" s="7" t="s">
        <v>20</v>
      </c>
      <c r="C37" s="7" t="s">
        <v>20</v>
      </c>
      <c r="D37" s="85" t="s">
        <v>60</v>
      </c>
      <c r="E37" s="7" t="s">
        <v>82</v>
      </c>
      <c r="F37" s="7" t="s">
        <v>82</v>
      </c>
      <c r="G37" s="87">
        <f t="shared" si="8"/>
        <v>1</v>
      </c>
      <c r="H37" s="87">
        <f t="shared" si="8"/>
        <v>0</v>
      </c>
      <c r="I37" s="87">
        <f t="shared" si="8"/>
        <v>0</v>
      </c>
      <c r="J37" s="87">
        <f t="shared" si="9"/>
        <v>1</v>
      </c>
      <c r="K37" s="87">
        <f t="shared" si="10"/>
        <v>0</v>
      </c>
      <c r="L37" s="87">
        <f t="shared" si="11"/>
        <v>0</v>
      </c>
      <c r="M37" s="88" t="str">
        <f t="shared" si="12"/>
        <v>hypersensitiviy to study drug</v>
      </c>
      <c r="N37" s="89">
        <f t="shared" si="13"/>
        <v>1</v>
      </c>
      <c r="O37" s="89">
        <f t="shared" si="14"/>
        <v>0</v>
      </c>
      <c r="P37" s="89">
        <f t="shared" si="15"/>
        <v>0</v>
      </c>
      <c r="Q37" s="2"/>
    </row>
    <row r="38" spans="1:17" ht="12.75">
      <c r="A38" s="7">
        <v>11504005</v>
      </c>
      <c r="B38" s="7" t="s">
        <v>22</v>
      </c>
      <c r="C38" s="7" t="s">
        <v>20</v>
      </c>
      <c r="D38" s="7" t="s">
        <v>58</v>
      </c>
      <c r="E38" s="7" t="s">
        <v>9</v>
      </c>
      <c r="F38" s="7" t="s">
        <v>9</v>
      </c>
      <c r="G38" s="87">
        <f t="shared" si="8"/>
        <v>0</v>
      </c>
      <c r="H38" s="87">
        <f t="shared" si="8"/>
        <v>0</v>
      </c>
      <c r="I38" s="87">
        <f t="shared" si="8"/>
        <v>1</v>
      </c>
      <c r="J38" s="87">
        <f t="shared" si="9"/>
        <v>0</v>
      </c>
      <c r="K38" s="87">
        <f t="shared" si="10"/>
        <v>0</v>
      </c>
      <c r="L38" s="87">
        <f t="shared" si="11"/>
        <v>1</v>
      </c>
      <c r="M38" s="88" t="str">
        <f t="shared" si="12"/>
        <v>increased heart block</v>
      </c>
      <c r="N38" s="89">
        <f t="shared" si="13"/>
        <v>0</v>
      </c>
      <c r="O38" s="89">
        <f t="shared" si="14"/>
        <v>0</v>
      </c>
      <c r="P38" s="89">
        <f t="shared" si="15"/>
        <v>1</v>
      </c>
      <c r="Q38" s="2"/>
    </row>
    <row r="39" spans="1:17" ht="12.75">
      <c r="A39" s="7">
        <v>33447001</v>
      </c>
      <c r="B39" s="7" t="s">
        <v>20</v>
      </c>
      <c r="C39" s="7" t="s">
        <v>20</v>
      </c>
      <c r="D39" s="85" t="s">
        <v>60</v>
      </c>
      <c r="E39" s="7" t="s">
        <v>3</v>
      </c>
      <c r="F39" s="7" t="s">
        <v>108</v>
      </c>
      <c r="G39" s="87">
        <f t="shared" si="8"/>
        <v>1</v>
      </c>
      <c r="H39" s="87">
        <f t="shared" si="8"/>
        <v>0</v>
      </c>
      <c r="I39" s="87">
        <f t="shared" si="8"/>
        <v>0</v>
      </c>
      <c r="J39" s="87">
        <f t="shared" si="9"/>
        <v>1</v>
      </c>
      <c r="K39" s="87">
        <f t="shared" si="10"/>
        <v>0</v>
      </c>
      <c r="L39" s="87">
        <f t="shared" si="11"/>
        <v>0</v>
      </c>
      <c r="M39" s="88">
        <f t="shared" si="12"/>
      </c>
      <c r="N39" s="89">
        <f t="shared" si="13"/>
      </c>
      <c r="O39" s="89">
        <f t="shared" si="14"/>
      </c>
      <c r="P39" s="89">
        <f t="shared" si="15"/>
      </c>
      <c r="Q39" s="2"/>
    </row>
    <row r="40" spans="1:17" ht="12.75">
      <c r="A40" s="7">
        <v>35366001</v>
      </c>
      <c r="B40" s="7" t="s">
        <v>20</v>
      </c>
      <c r="C40" s="7" t="s">
        <v>20</v>
      </c>
      <c r="D40" s="85" t="s">
        <v>60</v>
      </c>
      <c r="E40" s="7" t="s">
        <v>3</v>
      </c>
      <c r="F40" s="7" t="s">
        <v>108</v>
      </c>
      <c r="G40" s="87">
        <f t="shared" si="8"/>
        <v>1</v>
      </c>
      <c r="H40" s="87">
        <f t="shared" si="8"/>
        <v>0</v>
      </c>
      <c r="I40" s="87">
        <f t="shared" si="8"/>
        <v>0</v>
      </c>
      <c r="J40" s="87">
        <f t="shared" si="9"/>
        <v>2</v>
      </c>
      <c r="K40" s="87">
        <f t="shared" si="10"/>
        <v>0</v>
      </c>
      <c r="L40" s="87">
        <f t="shared" si="11"/>
        <v>0</v>
      </c>
      <c r="M40" s="88">
        <f t="shared" si="12"/>
      </c>
      <c r="N40" s="89">
        <f t="shared" si="13"/>
      </c>
      <c r="O40" s="89">
        <f t="shared" si="14"/>
      </c>
      <c r="P40" s="89">
        <f t="shared" si="15"/>
      </c>
      <c r="Q40" s="2"/>
    </row>
    <row r="41" spans="1:17" ht="12.75">
      <c r="A41" s="7">
        <v>13444003</v>
      </c>
      <c r="B41" s="7" t="s">
        <v>22</v>
      </c>
      <c r="C41" s="7" t="s">
        <v>22</v>
      </c>
      <c r="D41" s="7" t="s">
        <v>59</v>
      </c>
      <c r="E41" s="7" t="s">
        <v>3</v>
      </c>
      <c r="F41" s="7" t="s">
        <v>108</v>
      </c>
      <c r="G41" s="87">
        <f t="shared" si="8"/>
        <v>0</v>
      </c>
      <c r="H41" s="87">
        <f t="shared" si="8"/>
        <v>1</v>
      </c>
      <c r="I41" s="87">
        <f t="shared" si="8"/>
        <v>0</v>
      </c>
      <c r="J41" s="87">
        <f t="shared" si="9"/>
        <v>2</v>
      </c>
      <c r="K41" s="87">
        <f t="shared" si="10"/>
        <v>1</v>
      </c>
      <c r="L41" s="87">
        <f t="shared" si="11"/>
        <v>0</v>
      </c>
      <c r="M41" s="88">
        <f t="shared" si="12"/>
      </c>
      <c r="N41" s="89">
        <f t="shared" si="13"/>
      </c>
      <c r="O41" s="89">
        <f t="shared" si="14"/>
      </c>
      <c r="P41" s="89">
        <f t="shared" si="15"/>
      </c>
      <c r="Q41" s="2"/>
    </row>
    <row r="42" spans="1:17" ht="12.75">
      <c r="A42" s="7">
        <v>8366009</v>
      </c>
      <c r="B42" s="7" t="s">
        <v>20</v>
      </c>
      <c r="C42" s="7" t="s">
        <v>20</v>
      </c>
      <c r="D42" s="7" t="s">
        <v>58</v>
      </c>
      <c r="E42" s="7" t="s">
        <v>83</v>
      </c>
      <c r="F42" s="7" t="s">
        <v>108</v>
      </c>
      <c r="G42" s="87">
        <f t="shared" si="8"/>
        <v>0</v>
      </c>
      <c r="H42" s="87">
        <f t="shared" si="8"/>
        <v>0</v>
      </c>
      <c r="I42" s="87">
        <f t="shared" si="8"/>
        <v>1</v>
      </c>
      <c r="J42" s="87">
        <f t="shared" si="9"/>
        <v>2</v>
      </c>
      <c r="K42" s="87">
        <f t="shared" si="10"/>
        <v>1</v>
      </c>
      <c r="L42" s="87">
        <f t="shared" si="11"/>
        <v>1</v>
      </c>
      <c r="M42" s="88" t="str">
        <f t="shared" si="12"/>
        <v>infection, cutaneous</v>
      </c>
      <c r="N42" s="89">
        <f t="shared" si="13"/>
        <v>2</v>
      </c>
      <c r="O42" s="89">
        <f t="shared" si="14"/>
        <v>1</v>
      </c>
      <c r="P42" s="89">
        <f t="shared" si="15"/>
        <v>1</v>
      </c>
      <c r="Q42" s="2"/>
    </row>
    <row r="43" spans="1:17" ht="12.75">
      <c r="A43" s="7">
        <v>31989019</v>
      </c>
      <c r="B43" s="7" t="s">
        <v>22</v>
      </c>
      <c r="C43" s="7" t="s">
        <v>22</v>
      </c>
      <c r="D43" s="85" t="s">
        <v>60</v>
      </c>
      <c r="E43" s="7" t="s">
        <v>64</v>
      </c>
      <c r="F43" s="7" t="s">
        <v>109</v>
      </c>
      <c r="G43" s="87">
        <f aca="true" t="shared" si="16" ref="G43:I62">IF(TRIM($D43)=G$2,1,0)</f>
        <v>1</v>
      </c>
      <c r="H43" s="87">
        <f t="shared" si="16"/>
        <v>0</v>
      </c>
      <c r="I43" s="87">
        <f t="shared" si="16"/>
        <v>0</v>
      </c>
      <c r="J43" s="87">
        <f t="shared" si="9"/>
        <v>1</v>
      </c>
      <c r="K43" s="87">
        <f t="shared" si="10"/>
        <v>0</v>
      </c>
      <c r="L43" s="87">
        <f t="shared" si="11"/>
        <v>0</v>
      </c>
      <c r="M43" s="88">
        <f t="shared" si="12"/>
      </c>
      <c r="N43" s="89">
        <f t="shared" si="13"/>
      </c>
      <c r="O43" s="89">
        <f t="shared" si="14"/>
      </c>
      <c r="P43" s="89">
        <f t="shared" si="15"/>
      </c>
      <c r="Q43" s="2"/>
    </row>
    <row r="44" spans="1:17" ht="12.75">
      <c r="A44" s="7">
        <v>21459061</v>
      </c>
      <c r="B44" s="7" t="s">
        <v>20</v>
      </c>
      <c r="C44" s="7" t="s">
        <v>20</v>
      </c>
      <c r="D44" s="85" t="s">
        <v>59</v>
      </c>
      <c r="E44" s="7" t="s">
        <v>10</v>
      </c>
      <c r="F44" s="7" t="s">
        <v>109</v>
      </c>
      <c r="G44" s="87">
        <f t="shared" si="16"/>
        <v>0</v>
      </c>
      <c r="H44" s="87">
        <f t="shared" si="16"/>
        <v>1</v>
      </c>
      <c r="I44" s="87">
        <f t="shared" si="16"/>
        <v>0</v>
      </c>
      <c r="J44" s="87">
        <f t="shared" si="9"/>
        <v>1</v>
      </c>
      <c r="K44" s="87">
        <f t="shared" si="10"/>
        <v>1</v>
      </c>
      <c r="L44" s="87">
        <f t="shared" si="11"/>
        <v>0</v>
      </c>
      <c r="M44" s="88">
        <f t="shared" si="12"/>
      </c>
      <c r="N44" s="89">
        <f t="shared" si="13"/>
      </c>
      <c r="O44" s="89">
        <f t="shared" si="14"/>
      </c>
      <c r="P44" s="89">
        <f t="shared" si="15"/>
      </c>
      <c r="Q44" s="2"/>
    </row>
    <row r="45" spans="1:17" ht="12.75">
      <c r="A45" s="7">
        <v>31989003</v>
      </c>
      <c r="B45" s="7" t="s">
        <v>20</v>
      </c>
      <c r="C45" s="7" t="s">
        <v>20</v>
      </c>
      <c r="D45" s="85" t="s">
        <v>59</v>
      </c>
      <c r="E45" s="7" t="s">
        <v>4</v>
      </c>
      <c r="F45" s="7" t="s">
        <v>109</v>
      </c>
      <c r="G45" s="87">
        <f t="shared" si="16"/>
        <v>0</v>
      </c>
      <c r="H45" s="87">
        <f t="shared" si="16"/>
        <v>1</v>
      </c>
      <c r="I45" s="87">
        <f t="shared" si="16"/>
        <v>0</v>
      </c>
      <c r="J45" s="87">
        <f t="shared" si="9"/>
        <v>1</v>
      </c>
      <c r="K45" s="87">
        <f t="shared" si="10"/>
        <v>2</v>
      </c>
      <c r="L45" s="87">
        <f t="shared" si="11"/>
        <v>0</v>
      </c>
      <c r="M45" s="88">
        <f t="shared" si="12"/>
      </c>
      <c r="N45" s="89">
        <f t="shared" si="13"/>
      </c>
      <c r="O45" s="89">
        <f t="shared" si="14"/>
      </c>
      <c r="P45" s="89">
        <f t="shared" si="15"/>
      </c>
      <c r="Q45" s="2"/>
    </row>
    <row r="46" spans="1:17" ht="12.75">
      <c r="A46" s="7">
        <v>33387001</v>
      </c>
      <c r="B46" s="7" t="s">
        <v>22</v>
      </c>
      <c r="C46" s="7" t="s">
        <v>20</v>
      </c>
      <c r="D46" s="7" t="s">
        <v>59</v>
      </c>
      <c r="E46" s="7" t="s">
        <v>64</v>
      </c>
      <c r="F46" s="7" t="s">
        <v>109</v>
      </c>
      <c r="G46" s="87">
        <f t="shared" si="16"/>
        <v>0</v>
      </c>
      <c r="H46" s="87">
        <f t="shared" si="16"/>
        <v>1</v>
      </c>
      <c r="I46" s="87">
        <f t="shared" si="16"/>
        <v>0</v>
      </c>
      <c r="J46" s="87">
        <f t="shared" si="9"/>
        <v>1</v>
      </c>
      <c r="K46" s="87">
        <f t="shared" si="10"/>
        <v>3</v>
      </c>
      <c r="L46" s="87">
        <f t="shared" si="11"/>
        <v>0</v>
      </c>
      <c r="M46" s="88">
        <f t="shared" si="12"/>
      </c>
      <c r="N46" s="89">
        <f t="shared" si="13"/>
      </c>
      <c r="O46" s="89">
        <f t="shared" si="14"/>
      </c>
      <c r="P46" s="89">
        <f t="shared" si="15"/>
      </c>
      <c r="Q46" s="2"/>
    </row>
    <row r="47" spans="1:17" ht="12.75">
      <c r="A47" s="7">
        <v>34838003</v>
      </c>
      <c r="B47" s="7" t="s">
        <v>20</v>
      </c>
      <c r="C47" s="7" t="s">
        <v>20</v>
      </c>
      <c r="D47" s="7" t="s">
        <v>59</v>
      </c>
      <c r="E47" s="7" t="s">
        <v>65</v>
      </c>
      <c r="F47" s="7" t="s">
        <v>109</v>
      </c>
      <c r="G47" s="87">
        <f t="shared" si="16"/>
        <v>0</v>
      </c>
      <c r="H47" s="87">
        <f t="shared" si="16"/>
        <v>1</v>
      </c>
      <c r="I47" s="87">
        <f t="shared" si="16"/>
        <v>0</v>
      </c>
      <c r="J47" s="87">
        <f t="shared" si="9"/>
        <v>1</v>
      </c>
      <c r="K47" s="87">
        <f t="shared" si="10"/>
        <v>4</v>
      </c>
      <c r="L47" s="87">
        <f t="shared" si="11"/>
        <v>0</v>
      </c>
      <c r="M47" s="88">
        <f t="shared" si="12"/>
      </c>
      <c r="N47" s="89">
        <f t="shared" si="13"/>
      </c>
      <c r="O47" s="89">
        <f t="shared" si="14"/>
      </c>
      <c r="P47" s="89">
        <f t="shared" si="15"/>
      </c>
      <c r="Q47" s="2"/>
    </row>
    <row r="48" spans="1:17" ht="12.75">
      <c r="A48" s="7">
        <v>9093003</v>
      </c>
      <c r="B48" s="7" t="s">
        <v>20</v>
      </c>
      <c r="C48" s="7" t="s">
        <v>20</v>
      </c>
      <c r="D48" s="7" t="s">
        <v>58</v>
      </c>
      <c r="E48" s="7" t="s">
        <v>64</v>
      </c>
      <c r="F48" s="7" t="s">
        <v>109</v>
      </c>
      <c r="G48" s="87">
        <f t="shared" si="16"/>
        <v>0</v>
      </c>
      <c r="H48" s="87">
        <f t="shared" si="16"/>
        <v>0</v>
      </c>
      <c r="I48" s="87">
        <f t="shared" si="16"/>
        <v>1</v>
      </c>
      <c r="J48" s="87">
        <f t="shared" si="9"/>
        <v>1</v>
      </c>
      <c r="K48" s="87">
        <f t="shared" si="10"/>
        <v>4</v>
      </c>
      <c r="L48" s="87">
        <f t="shared" si="11"/>
        <v>1</v>
      </c>
      <c r="M48" s="88">
        <f t="shared" si="12"/>
      </c>
      <c r="N48" s="89">
        <f t="shared" si="13"/>
      </c>
      <c r="O48" s="89">
        <f t="shared" si="14"/>
      </c>
      <c r="P48" s="89">
        <f t="shared" si="15"/>
      </c>
      <c r="Q48" s="2"/>
    </row>
    <row r="49" spans="1:17" ht="12.75">
      <c r="A49" s="7">
        <v>13007003</v>
      </c>
      <c r="B49" s="7" t="s">
        <v>20</v>
      </c>
      <c r="C49" s="7" t="s">
        <v>20</v>
      </c>
      <c r="D49" s="7" t="s">
        <v>58</v>
      </c>
      <c r="E49" s="7" t="s">
        <v>12</v>
      </c>
      <c r="F49" s="7" t="s">
        <v>109</v>
      </c>
      <c r="G49" s="87">
        <f t="shared" si="16"/>
        <v>0</v>
      </c>
      <c r="H49" s="87">
        <f t="shared" si="16"/>
        <v>0</v>
      </c>
      <c r="I49" s="87">
        <f t="shared" si="16"/>
        <v>1</v>
      </c>
      <c r="J49" s="87">
        <f t="shared" si="9"/>
        <v>1</v>
      </c>
      <c r="K49" s="87">
        <f t="shared" si="10"/>
        <v>4</v>
      </c>
      <c r="L49" s="87">
        <f t="shared" si="11"/>
        <v>2</v>
      </c>
      <c r="M49" s="88" t="str">
        <f t="shared" si="12"/>
        <v>infection, deep</v>
      </c>
      <c r="N49" s="89">
        <f t="shared" si="13"/>
        <v>1</v>
      </c>
      <c r="O49" s="89">
        <f t="shared" si="14"/>
        <v>4</v>
      </c>
      <c r="P49" s="89">
        <f t="shared" si="15"/>
        <v>2</v>
      </c>
      <c r="Q49" s="2"/>
    </row>
    <row r="50" spans="1:17" ht="12.75">
      <c r="A50" s="7">
        <v>26090009</v>
      </c>
      <c r="B50" s="7" t="s">
        <v>20</v>
      </c>
      <c r="C50" s="7" t="s">
        <v>20</v>
      </c>
      <c r="D50" s="7" t="s">
        <v>60</v>
      </c>
      <c r="E50" s="7" t="s">
        <v>16</v>
      </c>
      <c r="F50" s="7" t="s">
        <v>16</v>
      </c>
      <c r="G50" s="87">
        <f t="shared" si="16"/>
        <v>1</v>
      </c>
      <c r="H50" s="87">
        <f t="shared" si="16"/>
        <v>0</v>
      </c>
      <c r="I50" s="87">
        <f t="shared" si="16"/>
        <v>0</v>
      </c>
      <c r="J50" s="87">
        <f t="shared" si="9"/>
        <v>1</v>
      </c>
      <c r="K50" s="87">
        <f t="shared" si="10"/>
        <v>0</v>
      </c>
      <c r="L50" s="87">
        <f t="shared" si="11"/>
        <v>0</v>
      </c>
      <c r="M50" s="88">
        <f t="shared" si="12"/>
      </c>
      <c r="N50" s="89">
        <f t="shared" si="13"/>
      </c>
      <c r="O50" s="89">
        <f t="shared" si="14"/>
      </c>
      <c r="P50" s="89">
        <f t="shared" si="15"/>
      </c>
      <c r="Q50" s="2"/>
    </row>
    <row r="51" spans="1:17" ht="12.75">
      <c r="A51" s="7">
        <v>34532001</v>
      </c>
      <c r="B51" s="7" t="s">
        <v>20</v>
      </c>
      <c r="C51" s="7" t="s">
        <v>20</v>
      </c>
      <c r="D51" s="7" t="s">
        <v>58</v>
      </c>
      <c r="E51" s="7" t="s">
        <v>84</v>
      </c>
      <c r="F51" s="7" t="s">
        <v>16</v>
      </c>
      <c r="G51" s="87">
        <f t="shared" si="16"/>
        <v>0</v>
      </c>
      <c r="H51" s="87">
        <f t="shared" si="16"/>
        <v>0</v>
      </c>
      <c r="I51" s="87">
        <f t="shared" si="16"/>
        <v>1</v>
      </c>
      <c r="J51" s="87">
        <f t="shared" si="9"/>
        <v>1</v>
      </c>
      <c r="K51" s="87">
        <f t="shared" si="10"/>
        <v>0</v>
      </c>
      <c r="L51" s="87">
        <f t="shared" si="11"/>
        <v>1</v>
      </c>
      <c r="M51" s="88">
        <f t="shared" si="12"/>
      </c>
      <c r="N51" s="89">
        <f t="shared" si="13"/>
      </c>
      <c r="O51" s="89">
        <f t="shared" si="14"/>
      </c>
      <c r="P51" s="89">
        <f t="shared" si="15"/>
      </c>
      <c r="Q51" s="2"/>
    </row>
    <row r="52" spans="1:17" ht="12.75">
      <c r="A52" s="7">
        <v>34717011</v>
      </c>
      <c r="B52" s="7" t="s">
        <v>22</v>
      </c>
      <c r="C52" s="7" t="s">
        <v>20</v>
      </c>
      <c r="D52" s="7" t="s">
        <v>58</v>
      </c>
      <c r="E52" s="7" t="s">
        <v>16</v>
      </c>
      <c r="F52" s="7" t="s">
        <v>16</v>
      </c>
      <c r="G52" s="87">
        <f t="shared" si="16"/>
        <v>0</v>
      </c>
      <c r="H52" s="87">
        <f t="shared" si="16"/>
        <v>0</v>
      </c>
      <c r="I52" s="87">
        <f t="shared" si="16"/>
        <v>1</v>
      </c>
      <c r="J52" s="87">
        <f t="shared" si="9"/>
        <v>1</v>
      </c>
      <c r="K52" s="87">
        <f t="shared" si="10"/>
        <v>0</v>
      </c>
      <c r="L52" s="87">
        <f t="shared" si="11"/>
        <v>2</v>
      </c>
      <c r="M52" s="88" t="str">
        <f t="shared" si="12"/>
        <v>MI</v>
      </c>
      <c r="N52" s="89">
        <f t="shared" si="13"/>
        <v>1</v>
      </c>
      <c r="O52" s="89">
        <f t="shared" si="14"/>
        <v>0</v>
      </c>
      <c r="P52" s="89">
        <f t="shared" si="15"/>
        <v>2</v>
      </c>
      <c r="Q52" s="2"/>
    </row>
    <row r="53" spans="1:17" ht="12.75">
      <c r="A53" s="7">
        <v>9625006</v>
      </c>
      <c r="B53" s="7" t="s">
        <v>20</v>
      </c>
      <c r="C53" s="7" t="s">
        <v>20</v>
      </c>
      <c r="D53" s="85" t="s">
        <v>60</v>
      </c>
      <c r="E53" s="7" t="s">
        <v>69</v>
      </c>
      <c r="F53" s="7" t="s">
        <v>104</v>
      </c>
      <c r="G53" s="87">
        <f t="shared" si="16"/>
        <v>1</v>
      </c>
      <c r="H53" s="87">
        <f t="shared" si="16"/>
        <v>0</v>
      </c>
      <c r="I53" s="87">
        <f t="shared" si="16"/>
        <v>0</v>
      </c>
      <c r="J53" s="87">
        <f t="shared" si="9"/>
        <v>1</v>
      </c>
      <c r="K53" s="87">
        <f t="shared" si="10"/>
        <v>0</v>
      </c>
      <c r="L53" s="87">
        <f t="shared" si="11"/>
        <v>0</v>
      </c>
      <c r="M53" s="88">
        <f t="shared" si="12"/>
      </c>
      <c r="N53" s="89">
        <f t="shared" si="13"/>
      </c>
      <c r="O53" s="89">
        <f t="shared" si="14"/>
      </c>
      <c r="P53" s="89">
        <f t="shared" si="15"/>
      </c>
      <c r="Q53" s="2"/>
    </row>
    <row r="54" spans="1:17" ht="12.75">
      <c r="A54" s="7">
        <v>14655009</v>
      </c>
      <c r="B54" s="7" t="s">
        <v>20</v>
      </c>
      <c r="C54" s="7" t="s">
        <v>20</v>
      </c>
      <c r="D54" s="7" t="s">
        <v>60</v>
      </c>
      <c r="E54" s="7" t="s">
        <v>69</v>
      </c>
      <c r="F54" s="7" t="s">
        <v>104</v>
      </c>
      <c r="G54" s="87">
        <f t="shared" si="16"/>
        <v>1</v>
      </c>
      <c r="H54" s="87">
        <f t="shared" si="16"/>
        <v>0</v>
      </c>
      <c r="I54" s="87">
        <f t="shared" si="16"/>
        <v>0</v>
      </c>
      <c r="J54" s="87">
        <f t="shared" si="9"/>
        <v>2</v>
      </c>
      <c r="K54" s="87">
        <f t="shared" si="10"/>
        <v>0</v>
      </c>
      <c r="L54" s="87">
        <f t="shared" si="11"/>
        <v>0</v>
      </c>
      <c r="M54" s="88">
        <f t="shared" si="12"/>
      </c>
      <c r="N54" s="89">
        <f t="shared" si="13"/>
      </c>
      <c r="O54" s="89">
        <f t="shared" si="14"/>
      </c>
      <c r="P54" s="89">
        <f t="shared" si="15"/>
      </c>
      <c r="Q54" s="2"/>
    </row>
    <row r="55" spans="1:17" ht="12.75">
      <c r="A55" s="7">
        <v>20747004</v>
      </c>
      <c r="B55" s="7" t="s">
        <v>20</v>
      </c>
      <c r="C55" s="7" t="s">
        <v>20</v>
      </c>
      <c r="D55" s="7" t="s">
        <v>60</v>
      </c>
      <c r="E55" s="7" t="s">
        <v>69</v>
      </c>
      <c r="F55" s="7" t="s">
        <v>104</v>
      </c>
      <c r="G55" s="87">
        <f t="shared" si="16"/>
        <v>1</v>
      </c>
      <c r="H55" s="87">
        <f t="shared" si="16"/>
        <v>0</v>
      </c>
      <c r="I55" s="87">
        <f t="shared" si="16"/>
        <v>0</v>
      </c>
      <c r="J55" s="87">
        <f t="shared" si="9"/>
        <v>3</v>
      </c>
      <c r="K55" s="87">
        <f t="shared" si="10"/>
        <v>0</v>
      </c>
      <c r="L55" s="87">
        <f t="shared" si="11"/>
        <v>0</v>
      </c>
      <c r="M55" s="88">
        <f t="shared" si="12"/>
      </c>
      <c r="N55" s="89">
        <f t="shared" si="13"/>
      </c>
      <c r="O55" s="89">
        <f t="shared" si="14"/>
      </c>
      <c r="P55" s="89">
        <f t="shared" si="15"/>
      </c>
      <c r="Q55" s="2"/>
    </row>
    <row r="56" spans="1:17" ht="12.75">
      <c r="A56" s="7">
        <v>25081005</v>
      </c>
      <c r="B56" s="7" t="s">
        <v>20</v>
      </c>
      <c r="C56" s="7" t="s">
        <v>20</v>
      </c>
      <c r="D56" s="85" t="s">
        <v>60</v>
      </c>
      <c r="E56" s="7" t="s">
        <v>70</v>
      </c>
      <c r="F56" s="7" t="s">
        <v>104</v>
      </c>
      <c r="G56" s="87">
        <f t="shared" si="16"/>
        <v>1</v>
      </c>
      <c r="H56" s="87">
        <f t="shared" si="16"/>
        <v>0</v>
      </c>
      <c r="I56" s="87">
        <f t="shared" si="16"/>
        <v>0</v>
      </c>
      <c r="J56" s="87">
        <f t="shared" si="9"/>
        <v>4</v>
      </c>
      <c r="K56" s="87">
        <f t="shared" si="10"/>
        <v>0</v>
      </c>
      <c r="L56" s="87">
        <f t="shared" si="11"/>
        <v>0</v>
      </c>
      <c r="M56" s="88">
        <f t="shared" si="12"/>
      </c>
      <c r="N56" s="89">
        <f t="shared" si="13"/>
      </c>
      <c r="O56" s="89">
        <f t="shared" si="14"/>
      </c>
      <c r="P56" s="89">
        <f t="shared" si="15"/>
      </c>
      <c r="Q56" s="2"/>
    </row>
    <row r="57" spans="1:17" ht="12.75">
      <c r="A57" s="7">
        <v>34429009</v>
      </c>
      <c r="B57" s="7" t="s">
        <v>20</v>
      </c>
      <c r="C57" s="7" t="s">
        <v>20</v>
      </c>
      <c r="D57" s="85" t="s">
        <v>60</v>
      </c>
      <c r="E57" s="7" t="s">
        <v>71</v>
      </c>
      <c r="F57" s="7" t="s">
        <v>104</v>
      </c>
      <c r="G57" s="87">
        <f t="shared" si="16"/>
        <v>1</v>
      </c>
      <c r="H57" s="87">
        <f t="shared" si="16"/>
        <v>0</v>
      </c>
      <c r="I57" s="87">
        <f t="shared" si="16"/>
        <v>0</v>
      </c>
      <c r="J57" s="87">
        <f t="shared" si="9"/>
        <v>5</v>
      </c>
      <c r="K57" s="87">
        <f t="shared" si="10"/>
        <v>0</v>
      </c>
      <c r="L57" s="87">
        <f t="shared" si="11"/>
        <v>0</v>
      </c>
      <c r="M57" s="88">
        <f t="shared" si="12"/>
      </c>
      <c r="N57" s="89">
        <f t="shared" si="13"/>
      </c>
      <c r="O57" s="89">
        <f t="shared" si="14"/>
      </c>
      <c r="P57" s="89">
        <f t="shared" si="15"/>
      </c>
      <c r="Q57" s="2"/>
    </row>
    <row r="58" spans="1:17" ht="12.75">
      <c r="A58" s="7">
        <v>34711004</v>
      </c>
      <c r="B58" s="7" t="s">
        <v>22</v>
      </c>
      <c r="C58" s="7" t="s">
        <v>20</v>
      </c>
      <c r="D58" s="85" t="s">
        <v>60</v>
      </c>
      <c r="E58" s="7" t="s">
        <v>44</v>
      </c>
      <c r="F58" s="7" t="s">
        <v>104</v>
      </c>
      <c r="G58" s="87">
        <f t="shared" si="16"/>
        <v>1</v>
      </c>
      <c r="H58" s="87">
        <f t="shared" si="16"/>
        <v>0</v>
      </c>
      <c r="I58" s="87">
        <f t="shared" si="16"/>
        <v>0</v>
      </c>
      <c r="J58" s="87">
        <f t="shared" si="9"/>
        <v>6</v>
      </c>
      <c r="K58" s="87">
        <f t="shared" si="10"/>
        <v>0</v>
      </c>
      <c r="L58" s="87">
        <f t="shared" si="11"/>
        <v>0</v>
      </c>
      <c r="M58" s="88">
        <f t="shared" si="12"/>
      </c>
      <c r="N58" s="89">
        <f t="shared" si="13"/>
      </c>
      <c r="O58" s="89">
        <f t="shared" si="14"/>
      </c>
      <c r="P58" s="89">
        <f t="shared" si="15"/>
      </c>
      <c r="Q58" s="2"/>
    </row>
    <row r="59" spans="1:17" ht="12.75">
      <c r="A59" s="7">
        <v>34718008</v>
      </c>
      <c r="B59" s="7" t="s">
        <v>20</v>
      </c>
      <c r="C59" s="7" t="s">
        <v>20</v>
      </c>
      <c r="D59" s="85" t="s">
        <v>59</v>
      </c>
      <c r="E59" s="7" t="s">
        <v>72</v>
      </c>
      <c r="F59" s="7" t="s">
        <v>104</v>
      </c>
      <c r="G59" s="87">
        <f t="shared" si="16"/>
        <v>0</v>
      </c>
      <c r="H59" s="87">
        <f t="shared" si="16"/>
        <v>1</v>
      </c>
      <c r="I59" s="87">
        <f t="shared" si="16"/>
        <v>0</v>
      </c>
      <c r="J59" s="87">
        <f t="shared" si="9"/>
        <v>6</v>
      </c>
      <c r="K59" s="87">
        <f t="shared" si="10"/>
        <v>1</v>
      </c>
      <c r="L59" s="87">
        <f t="shared" si="11"/>
        <v>0</v>
      </c>
      <c r="M59" s="88">
        <f t="shared" si="12"/>
      </c>
      <c r="N59" s="89">
        <f t="shared" si="13"/>
      </c>
      <c r="O59" s="89">
        <f t="shared" si="14"/>
      </c>
      <c r="P59" s="89">
        <f t="shared" si="15"/>
      </c>
      <c r="Q59" s="2"/>
    </row>
    <row r="60" spans="1:17" ht="12.75">
      <c r="A60" s="7">
        <v>3613010</v>
      </c>
      <c r="B60" s="7" t="s">
        <v>20</v>
      </c>
      <c r="C60" s="7" t="s">
        <v>20</v>
      </c>
      <c r="D60" s="85" t="s">
        <v>58</v>
      </c>
      <c r="E60" s="7" t="s">
        <v>68</v>
      </c>
      <c r="F60" s="7" t="s">
        <v>104</v>
      </c>
      <c r="G60" s="87">
        <f t="shared" si="16"/>
        <v>0</v>
      </c>
      <c r="H60" s="87">
        <f t="shared" si="16"/>
        <v>0</v>
      </c>
      <c r="I60" s="87">
        <f t="shared" si="16"/>
        <v>1</v>
      </c>
      <c r="J60" s="87">
        <f t="shared" si="9"/>
        <v>6</v>
      </c>
      <c r="K60" s="87">
        <f t="shared" si="10"/>
        <v>1</v>
      </c>
      <c r="L60" s="87">
        <f t="shared" si="11"/>
        <v>1</v>
      </c>
      <c r="M60" s="88">
        <f t="shared" si="12"/>
      </c>
      <c r="N60" s="89">
        <f t="shared" si="13"/>
      </c>
      <c r="O60" s="89">
        <f t="shared" si="14"/>
      </c>
      <c r="P60" s="89">
        <f t="shared" si="15"/>
      </c>
      <c r="Q60" s="2"/>
    </row>
    <row r="61" spans="1:17" ht="12.75">
      <c r="A61" s="7">
        <v>24015009</v>
      </c>
      <c r="B61" s="7" t="s">
        <v>22</v>
      </c>
      <c r="C61" s="7" t="s">
        <v>22</v>
      </c>
      <c r="D61" s="85" t="s">
        <v>58</v>
      </c>
      <c r="E61" s="7" t="s">
        <v>69</v>
      </c>
      <c r="F61" s="7" t="s">
        <v>104</v>
      </c>
      <c r="G61" s="87">
        <f t="shared" si="16"/>
        <v>0</v>
      </c>
      <c r="H61" s="87">
        <f t="shared" si="16"/>
        <v>0</v>
      </c>
      <c r="I61" s="87">
        <f t="shared" si="16"/>
        <v>1</v>
      </c>
      <c r="J61" s="87">
        <f t="shared" si="9"/>
        <v>6</v>
      </c>
      <c r="K61" s="87">
        <f t="shared" si="10"/>
        <v>1</v>
      </c>
      <c r="L61" s="87">
        <f t="shared" si="11"/>
        <v>2</v>
      </c>
      <c r="M61" s="88" t="str">
        <f t="shared" si="12"/>
        <v>neoplasm</v>
      </c>
      <c r="N61" s="89">
        <f t="shared" si="13"/>
        <v>6</v>
      </c>
      <c r="O61" s="89">
        <f t="shared" si="14"/>
        <v>1</v>
      </c>
      <c r="P61" s="89">
        <f t="shared" si="15"/>
        <v>2</v>
      </c>
      <c r="Q61" s="2"/>
    </row>
    <row r="62" spans="1:17" ht="12.75">
      <c r="A62" s="7">
        <v>34424026</v>
      </c>
      <c r="B62" s="7" t="s">
        <v>20</v>
      </c>
      <c r="C62" s="7" t="s">
        <v>20</v>
      </c>
      <c r="D62" s="7" t="s">
        <v>59</v>
      </c>
      <c r="E62" s="7" t="s">
        <v>47</v>
      </c>
      <c r="F62" s="7" t="s">
        <v>47</v>
      </c>
      <c r="G62" s="87">
        <f t="shared" si="16"/>
        <v>0</v>
      </c>
      <c r="H62" s="87">
        <f t="shared" si="16"/>
        <v>1</v>
      </c>
      <c r="I62" s="87">
        <f t="shared" si="16"/>
        <v>0</v>
      </c>
      <c r="J62" s="87">
        <f t="shared" si="9"/>
        <v>0</v>
      </c>
      <c r="K62" s="87">
        <f t="shared" si="10"/>
        <v>1</v>
      </c>
      <c r="L62" s="87">
        <f t="shared" si="11"/>
        <v>0</v>
      </c>
      <c r="M62" s="88" t="str">
        <f t="shared" si="12"/>
        <v>non-malignant colon polyps</v>
      </c>
      <c r="N62" s="89">
        <f t="shared" si="13"/>
        <v>0</v>
      </c>
      <c r="O62" s="89">
        <f t="shared" si="14"/>
        <v>1</v>
      </c>
      <c r="P62" s="89">
        <f t="shared" si="15"/>
        <v>0</v>
      </c>
      <c r="Q62" s="2"/>
    </row>
    <row r="63" spans="1:17" ht="12.75">
      <c r="A63" s="7">
        <v>18553001</v>
      </c>
      <c r="B63" s="7" t="s">
        <v>22</v>
      </c>
      <c r="C63" s="7" t="s">
        <v>20</v>
      </c>
      <c r="D63" s="7" t="s">
        <v>58</v>
      </c>
      <c r="E63" s="7" t="s">
        <v>15</v>
      </c>
      <c r="F63" s="7" t="s">
        <v>101</v>
      </c>
      <c r="G63" s="87">
        <f aca="true" t="shared" si="17" ref="G63:I83">IF(TRIM($D63)=G$2,1,0)</f>
        <v>0</v>
      </c>
      <c r="H63" s="87">
        <f t="shared" si="17"/>
        <v>0</v>
      </c>
      <c r="I63" s="87">
        <f t="shared" si="17"/>
        <v>1</v>
      </c>
      <c r="J63" s="87">
        <f t="shared" si="9"/>
        <v>0</v>
      </c>
      <c r="K63" s="87">
        <f t="shared" si="10"/>
        <v>0</v>
      </c>
      <c r="L63" s="87">
        <f t="shared" si="11"/>
        <v>1</v>
      </c>
      <c r="M63" s="88" t="str">
        <f t="shared" si="12"/>
        <v>pancreatitis</v>
      </c>
      <c r="N63" s="89">
        <f t="shared" si="13"/>
        <v>0</v>
      </c>
      <c r="O63" s="89">
        <f t="shared" si="14"/>
        <v>0</v>
      </c>
      <c r="P63" s="89">
        <f t="shared" si="15"/>
        <v>1</v>
      </c>
      <c r="Q63" s="2"/>
    </row>
    <row r="64" spans="1:17" ht="12.75">
      <c r="A64" s="7">
        <v>6977013</v>
      </c>
      <c r="B64" s="7" t="s">
        <v>20</v>
      </c>
      <c r="C64" s="7" t="s">
        <v>20</v>
      </c>
      <c r="D64" s="7" t="s">
        <v>60</v>
      </c>
      <c r="E64" s="7" t="s">
        <v>10</v>
      </c>
      <c r="F64" s="7" t="s">
        <v>10</v>
      </c>
      <c r="G64" s="87">
        <f t="shared" si="17"/>
        <v>1</v>
      </c>
      <c r="H64" s="87">
        <f t="shared" si="17"/>
        <v>0</v>
      </c>
      <c r="I64" s="87">
        <f t="shared" si="17"/>
        <v>0</v>
      </c>
      <c r="J64" s="87">
        <f t="shared" si="9"/>
        <v>1</v>
      </c>
      <c r="K64" s="87">
        <f t="shared" si="10"/>
        <v>0</v>
      </c>
      <c r="L64" s="87">
        <f t="shared" si="11"/>
        <v>0</v>
      </c>
      <c r="M64" s="88">
        <f t="shared" si="12"/>
      </c>
      <c r="N64" s="89">
        <f t="shared" si="13"/>
      </c>
      <c r="O64" s="89">
        <f t="shared" si="14"/>
      </c>
      <c r="P64" s="89">
        <f t="shared" si="15"/>
      </c>
      <c r="Q64" s="2"/>
    </row>
    <row r="65" spans="1:17" ht="12.75">
      <c r="A65" s="7">
        <v>35054002</v>
      </c>
      <c r="B65" s="7" t="s">
        <v>20</v>
      </c>
      <c r="C65" s="7" t="s">
        <v>20</v>
      </c>
      <c r="D65" s="7" t="s">
        <v>60</v>
      </c>
      <c r="E65" s="7" t="s">
        <v>85</v>
      </c>
      <c r="F65" s="7" t="s">
        <v>10</v>
      </c>
      <c r="G65" s="87">
        <f t="shared" si="17"/>
        <v>1</v>
      </c>
      <c r="H65" s="87">
        <f t="shared" si="17"/>
        <v>0</v>
      </c>
      <c r="I65" s="87">
        <f t="shared" si="17"/>
        <v>0</v>
      </c>
      <c r="J65" s="87">
        <f t="shared" si="9"/>
        <v>2</v>
      </c>
      <c r="K65" s="87">
        <f t="shared" si="10"/>
        <v>0</v>
      </c>
      <c r="L65" s="87">
        <f t="shared" si="11"/>
        <v>0</v>
      </c>
      <c r="M65" s="88">
        <f t="shared" si="12"/>
      </c>
      <c r="N65" s="89">
        <f t="shared" si="13"/>
      </c>
      <c r="O65" s="89">
        <f t="shared" si="14"/>
      </c>
      <c r="P65" s="89">
        <f t="shared" si="15"/>
      </c>
      <c r="Q65" s="2"/>
    </row>
    <row r="66" spans="1:17" ht="12.75">
      <c r="A66" s="7">
        <v>12910001</v>
      </c>
      <c r="B66" s="7" t="s">
        <v>22</v>
      </c>
      <c r="C66" s="7" t="s">
        <v>22</v>
      </c>
      <c r="D66" s="7" t="s">
        <v>58</v>
      </c>
      <c r="E66" s="7" t="s">
        <v>10</v>
      </c>
      <c r="F66" s="7" t="s">
        <v>10</v>
      </c>
      <c r="G66" s="87">
        <f t="shared" si="17"/>
        <v>0</v>
      </c>
      <c r="H66" s="87">
        <f t="shared" si="17"/>
        <v>0</v>
      </c>
      <c r="I66" s="87">
        <f t="shared" si="17"/>
        <v>1</v>
      </c>
      <c r="J66" s="87">
        <f t="shared" si="9"/>
        <v>2</v>
      </c>
      <c r="K66" s="87">
        <f t="shared" si="10"/>
        <v>0</v>
      </c>
      <c r="L66" s="87">
        <f t="shared" si="11"/>
        <v>1</v>
      </c>
      <c r="M66" s="88" t="str">
        <f t="shared" si="12"/>
        <v>pneumonia</v>
      </c>
      <c r="N66" s="89">
        <f t="shared" si="13"/>
        <v>2</v>
      </c>
      <c r="O66" s="89">
        <f t="shared" si="14"/>
        <v>0</v>
      </c>
      <c r="P66" s="89">
        <f t="shared" si="15"/>
        <v>1</v>
      </c>
      <c r="Q66" s="2"/>
    </row>
    <row r="67" spans="1:17" ht="12.75">
      <c r="A67" s="7">
        <v>8366007</v>
      </c>
      <c r="B67" s="7" t="s">
        <v>20</v>
      </c>
      <c r="C67" s="7" t="s">
        <v>20</v>
      </c>
      <c r="D67" s="7" t="s">
        <v>58</v>
      </c>
      <c r="E67" s="7" t="s">
        <v>11</v>
      </c>
      <c r="F67" s="7" t="s">
        <v>11</v>
      </c>
      <c r="G67" s="87">
        <f t="shared" si="17"/>
        <v>0</v>
      </c>
      <c r="H67" s="87">
        <f t="shared" si="17"/>
        <v>0</v>
      </c>
      <c r="I67" s="87">
        <f t="shared" si="17"/>
        <v>1</v>
      </c>
      <c r="J67" s="87">
        <f aca="true" t="shared" si="18" ref="J67:J83">IF($F67&lt;&gt;$F66,G67,G67+J66)</f>
        <v>0</v>
      </c>
      <c r="K67" s="87">
        <f aca="true" t="shared" si="19" ref="K67:K83">IF($F67&lt;&gt;$F66,H67,H67+K66)</f>
        <v>0</v>
      </c>
      <c r="L67" s="87">
        <f aca="true" t="shared" si="20" ref="L67:L83">IF($F67&lt;&gt;$F66,I67,I67+L66)</f>
        <v>1</v>
      </c>
      <c r="M67" s="88" t="str">
        <f aca="true" t="shared" si="21" ref="M67:M83">IF(F67=F68,"",F67)</f>
        <v>prostate adenoma</v>
      </c>
      <c r="N67" s="89">
        <f aca="true" t="shared" si="22" ref="N67:N83">IF($F67=$F68,"",J67)</f>
        <v>0</v>
      </c>
      <c r="O67" s="89">
        <f t="shared" si="14"/>
        <v>0</v>
      </c>
      <c r="P67" s="89">
        <f t="shared" si="15"/>
        <v>1</v>
      </c>
      <c r="Q67" s="2"/>
    </row>
    <row r="68" spans="1:17" ht="12.75">
      <c r="A68" s="7">
        <v>6328010</v>
      </c>
      <c r="B68" s="7" t="s">
        <v>22</v>
      </c>
      <c r="C68" s="7" t="s">
        <v>22</v>
      </c>
      <c r="D68" s="7" t="s">
        <v>58</v>
      </c>
      <c r="E68" s="7" t="s">
        <v>66</v>
      </c>
      <c r="F68" s="7" t="s">
        <v>102</v>
      </c>
      <c r="G68" s="87">
        <f t="shared" si="17"/>
        <v>0</v>
      </c>
      <c r="H68" s="87">
        <f t="shared" si="17"/>
        <v>0</v>
      </c>
      <c r="I68" s="87">
        <f t="shared" si="17"/>
        <v>1</v>
      </c>
      <c r="J68" s="87">
        <f t="shared" si="18"/>
        <v>0</v>
      </c>
      <c r="K68" s="87">
        <f t="shared" si="19"/>
        <v>0</v>
      </c>
      <c r="L68" s="87">
        <f t="shared" si="20"/>
        <v>1</v>
      </c>
      <c r="M68" s="88" t="str">
        <f t="shared" si="21"/>
        <v>pulmonary embolism</v>
      </c>
      <c r="N68" s="89">
        <f t="shared" si="22"/>
        <v>0</v>
      </c>
      <c r="O68" s="89">
        <f aca="true" t="shared" si="23" ref="O68:O83">IF($F68=$F69,"",K68)</f>
        <v>0</v>
      </c>
      <c r="P68" s="89">
        <f aca="true" t="shared" si="24" ref="P68:P83">IF($F68=$F69,"",L68)</f>
        <v>1</v>
      </c>
      <c r="Q68" s="2"/>
    </row>
    <row r="69" spans="1:17" ht="12.75">
      <c r="A69" s="7">
        <v>32694002</v>
      </c>
      <c r="B69" s="7" t="s">
        <v>22</v>
      </c>
      <c r="C69" s="7" t="s">
        <v>20</v>
      </c>
      <c r="D69" s="85" t="s">
        <v>60</v>
      </c>
      <c r="E69" s="7" t="s">
        <v>86</v>
      </c>
      <c r="F69" s="7" t="s">
        <v>8</v>
      </c>
      <c r="G69" s="87">
        <f t="shared" si="17"/>
        <v>1</v>
      </c>
      <c r="H69" s="87">
        <f t="shared" si="17"/>
        <v>0</v>
      </c>
      <c r="I69" s="87">
        <f t="shared" si="17"/>
        <v>0</v>
      </c>
      <c r="J69" s="87">
        <f t="shared" si="18"/>
        <v>1</v>
      </c>
      <c r="K69" s="87">
        <f t="shared" si="19"/>
        <v>0</v>
      </c>
      <c r="L69" s="87">
        <f t="shared" si="20"/>
        <v>0</v>
      </c>
      <c r="M69" s="88">
        <f t="shared" si="21"/>
      </c>
      <c r="N69" s="89">
        <f t="shared" si="22"/>
      </c>
      <c r="O69" s="89">
        <f t="shared" si="23"/>
      </c>
      <c r="P69" s="89">
        <f t="shared" si="24"/>
      </c>
      <c r="Q69" s="2"/>
    </row>
    <row r="70" spans="1:17" ht="12.75">
      <c r="A70" s="7">
        <v>35084007</v>
      </c>
      <c r="B70" s="7" t="s">
        <v>20</v>
      </c>
      <c r="C70" s="7" t="s">
        <v>20</v>
      </c>
      <c r="D70" s="85" t="s">
        <v>60</v>
      </c>
      <c r="E70" s="7" t="s">
        <v>8</v>
      </c>
      <c r="F70" s="7" t="s">
        <v>8</v>
      </c>
      <c r="G70" s="87">
        <f t="shared" si="17"/>
        <v>1</v>
      </c>
      <c r="H70" s="87">
        <f t="shared" si="17"/>
        <v>0</v>
      </c>
      <c r="I70" s="87">
        <f t="shared" si="17"/>
        <v>0</v>
      </c>
      <c r="J70" s="87">
        <f t="shared" si="18"/>
        <v>2</v>
      </c>
      <c r="K70" s="87">
        <f t="shared" si="19"/>
        <v>0</v>
      </c>
      <c r="L70" s="87">
        <f t="shared" si="20"/>
        <v>0</v>
      </c>
      <c r="M70" s="88">
        <f t="shared" si="21"/>
      </c>
      <c r="N70" s="89">
        <f t="shared" si="22"/>
      </c>
      <c r="O70" s="89">
        <f t="shared" si="23"/>
      </c>
      <c r="P70" s="89">
        <f t="shared" si="24"/>
      </c>
      <c r="Q70" s="2"/>
    </row>
    <row r="71" spans="1:17" ht="12.75">
      <c r="A71" s="7">
        <v>13338010</v>
      </c>
      <c r="B71" s="7" t="s">
        <v>20</v>
      </c>
      <c r="C71" s="7" t="s">
        <v>20</v>
      </c>
      <c r="D71" s="7" t="s">
        <v>59</v>
      </c>
      <c r="E71" s="7" t="s">
        <v>8</v>
      </c>
      <c r="F71" s="7" t="s">
        <v>8</v>
      </c>
      <c r="G71" s="87">
        <f t="shared" si="17"/>
        <v>0</v>
      </c>
      <c r="H71" s="87">
        <f t="shared" si="17"/>
        <v>1</v>
      </c>
      <c r="I71" s="87">
        <f t="shared" si="17"/>
        <v>0</v>
      </c>
      <c r="J71" s="87">
        <f t="shared" si="18"/>
        <v>2</v>
      </c>
      <c r="K71" s="87">
        <f t="shared" si="19"/>
        <v>1</v>
      </c>
      <c r="L71" s="87">
        <f t="shared" si="20"/>
        <v>0</v>
      </c>
      <c r="M71" s="88" t="str">
        <f t="shared" si="21"/>
        <v>syncope</v>
      </c>
      <c r="N71" s="89">
        <f t="shared" si="22"/>
        <v>2</v>
      </c>
      <c r="O71" s="89">
        <f t="shared" si="23"/>
        <v>1</v>
      </c>
      <c r="P71" s="89">
        <f t="shared" si="24"/>
        <v>0</v>
      </c>
      <c r="Q71" s="2"/>
    </row>
    <row r="72" spans="1:17" ht="12.75">
      <c r="A72" s="7">
        <v>18158005</v>
      </c>
      <c r="B72" s="7" t="s">
        <v>20</v>
      </c>
      <c r="C72" s="7" t="s">
        <v>20</v>
      </c>
      <c r="D72" s="85" t="s">
        <v>60</v>
      </c>
      <c r="E72" s="7" t="s">
        <v>53</v>
      </c>
      <c r="F72" s="7" t="s">
        <v>53</v>
      </c>
      <c r="G72" s="87">
        <f t="shared" si="17"/>
        <v>1</v>
      </c>
      <c r="H72" s="87">
        <f t="shared" si="17"/>
        <v>0</v>
      </c>
      <c r="I72" s="87">
        <f t="shared" si="17"/>
        <v>0</v>
      </c>
      <c r="J72" s="87">
        <f t="shared" si="18"/>
        <v>1</v>
      </c>
      <c r="K72" s="87">
        <f t="shared" si="19"/>
        <v>0</v>
      </c>
      <c r="L72" s="87">
        <f t="shared" si="20"/>
        <v>0</v>
      </c>
      <c r="M72" s="88">
        <f t="shared" si="21"/>
      </c>
      <c r="N72" s="89">
        <f t="shared" si="22"/>
      </c>
      <c r="O72" s="89">
        <f t="shared" si="23"/>
      </c>
      <c r="P72" s="89">
        <f t="shared" si="24"/>
      </c>
      <c r="Q72" s="2"/>
    </row>
    <row r="73" spans="1:17" ht="12.75">
      <c r="A73" s="7">
        <v>32695021</v>
      </c>
      <c r="B73" s="7" t="s">
        <v>22</v>
      </c>
      <c r="C73" s="7" t="s">
        <v>20</v>
      </c>
      <c r="D73" s="85" t="s">
        <v>60</v>
      </c>
      <c r="E73" s="7" t="s">
        <v>88</v>
      </c>
      <c r="F73" s="7" t="s">
        <v>53</v>
      </c>
      <c r="G73" s="87">
        <f t="shared" si="17"/>
        <v>1</v>
      </c>
      <c r="H73" s="87">
        <f t="shared" si="17"/>
        <v>0</v>
      </c>
      <c r="I73" s="87">
        <f t="shared" si="17"/>
        <v>0</v>
      </c>
      <c r="J73" s="87">
        <f t="shared" si="18"/>
        <v>2</v>
      </c>
      <c r="K73" s="87">
        <f t="shared" si="19"/>
        <v>0</v>
      </c>
      <c r="L73" s="87">
        <f t="shared" si="20"/>
        <v>0</v>
      </c>
      <c r="M73" s="88">
        <f t="shared" si="21"/>
      </c>
      <c r="N73" s="89">
        <f t="shared" si="22"/>
      </c>
      <c r="O73" s="89">
        <f t="shared" si="23"/>
      </c>
      <c r="P73" s="89">
        <f t="shared" si="24"/>
      </c>
      <c r="Q73" s="2"/>
    </row>
    <row r="74" spans="1:17" ht="12.75">
      <c r="A74" s="7">
        <v>22744001</v>
      </c>
      <c r="B74" s="7" t="s">
        <v>22</v>
      </c>
      <c r="C74" s="7" t="s">
        <v>20</v>
      </c>
      <c r="D74" s="7" t="s">
        <v>59</v>
      </c>
      <c r="E74" s="7" t="s">
        <v>53</v>
      </c>
      <c r="F74" s="7" t="s">
        <v>53</v>
      </c>
      <c r="G74" s="87">
        <f t="shared" si="17"/>
        <v>0</v>
      </c>
      <c r="H74" s="87">
        <f t="shared" si="17"/>
        <v>1</v>
      </c>
      <c r="I74" s="87">
        <f t="shared" si="17"/>
        <v>0</v>
      </c>
      <c r="J74" s="87">
        <f t="shared" si="18"/>
        <v>2</v>
      </c>
      <c r="K74" s="87">
        <f t="shared" si="19"/>
        <v>1</v>
      </c>
      <c r="L74" s="87">
        <f t="shared" si="20"/>
        <v>0</v>
      </c>
      <c r="M74" s="88">
        <f t="shared" si="21"/>
      </c>
      <c r="N74" s="89">
        <f t="shared" si="22"/>
      </c>
      <c r="O74" s="89">
        <f t="shared" si="23"/>
      </c>
      <c r="P74" s="89">
        <f t="shared" si="24"/>
      </c>
      <c r="Q74" s="2"/>
    </row>
    <row r="75" spans="1:17" ht="12.75">
      <c r="A75" s="7">
        <v>22207010</v>
      </c>
      <c r="B75" s="7" t="s">
        <v>20</v>
      </c>
      <c r="C75" s="7" t="s">
        <v>20</v>
      </c>
      <c r="D75" s="7" t="s">
        <v>58</v>
      </c>
      <c r="E75" s="7" t="s">
        <v>53</v>
      </c>
      <c r="F75" s="7" t="s">
        <v>53</v>
      </c>
      <c r="G75" s="87">
        <f t="shared" si="17"/>
        <v>0</v>
      </c>
      <c r="H75" s="87">
        <f t="shared" si="17"/>
        <v>0</v>
      </c>
      <c r="I75" s="87">
        <f t="shared" si="17"/>
        <v>1</v>
      </c>
      <c r="J75" s="87">
        <f t="shared" si="18"/>
        <v>2</v>
      </c>
      <c r="K75" s="87">
        <f t="shared" si="19"/>
        <v>1</v>
      </c>
      <c r="L75" s="87">
        <f t="shared" si="20"/>
        <v>1</v>
      </c>
      <c r="M75" s="88" t="str">
        <f t="shared" si="21"/>
        <v>TIA</v>
      </c>
      <c r="N75" s="89">
        <f t="shared" si="22"/>
        <v>2</v>
      </c>
      <c r="O75" s="89">
        <f t="shared" si="23"/>
        <v>1</v>
      </c>
      <c r="P75" s="89">
        <f t="shared" si="24"/>
        <v>1</v>
      </c>
      <c r="Q75" s="2"/>
    </row>
    <row r="76" spans="1:17" ht="12.75">
      <c r="A76" s="7">
        <v>20779004</v>
      </c>
      <c r="B76" s="7" t="s">
        <v>22</v>
      </c>
      <c r="C76" s="7" t="s">
        <v>20</v>
      </c>
      <c r="D76" s="85" t="s">
        <v>60</v>
      </c>
      <c r="E76" s="7" t="s">
        <v>78</v>
      </c>
      <c r="F76" s="7" t="s">
        <v>105</v>
      </c>
      <c r="G76" s="87">
        <f t="shared" si="17"/>
        <v>1</v>
      </c>
      <c r="H76" s="87">
        <f t="shared" si="17"/>
        <v>0</v>
      </c>
      <c r="I76" s="87">
        <f t="shared" si="17"/>
        <v>0</v>
      </c>
      <c r="J76" s="87">
        <f t="shared" si="18"/>
        <v>1</v>
      </c>
      <c r="K76" s="87">
        <f t="shared" si="19"/>
        <v>0</v>
      </c>
      <c r="L76" s="87">
        <f t="shared" si="20"/>
        <v>0</v>
      </c>
      <c r="M76" s="88">
        <f t="shared" si="21"/>
      </c>
      <c r="N76" s="89">
        <f t="shared" si="22"/>
      </c>
      <c r="O76" s="89">
        <f t="shared" si="23"/>
      </c>
      <c r="P76" s="89">
        <f t="shared" si="24"/>
      </c>
      <c r="Q76" s="2"/>
    </row>
    <row r="77" spans="1:17" ht="12.75">
      <c r="A77" s="7">
        <v>35391011</v>
      </c>
      <c r="B77" s="7" t="s">
        <v>20</v>
      </c>
      <c r="C77" s="7" t="s">
        <v>20</v>
      </c>
      <c r="D77" s="85" t="s">
        <v>60</v>
      </c>
      <c r="E77" s="7" t="s">
        <v>7</v>
      </c>
      <c r="F77" s="7" t="s">
        <v>105</v>
      </c>
      <c r="G77" s="87">
        <f t="shared" si="17"/>
        <v>1</v>
      </c>
      <c r="H77" s="87">
        <f t="shared" si="17"/>
        <v>0</v>
      </c>
      <c r="I77" s="87">
        <f t="shared" si="17"/>
        <v>0</v>
      </c>
      <c r="J77" s="87">
        <f t="shared" si="18"/>
        <v>2</v>
      </c>
      <c r="K77" s="87">
        <f t="shared" si="19"/>
        <v>0</v>
      </c>
      <c r="L77" s="87">
        <f t="shared" si="20"/>
        <v>0</v>
      </c>
      <c r="M77" s="88">
        <f t="shared" si="21"/>
      </c>
      <c r="N77" s="89">
        <f t="shared" si="22"/>
      </c>
      <c r="O77" s="89">
        <f t="shared" si="23"/>
      </c>
      <c r="P77" s="89">
        <f t="shared" si="24"/>
      </c>
      <c r="Q77" s="2"/>
    </row>
    <row r="78" spans="1:17" ht="12.75">
      <c r="A78" s="7">
        <v>22971002</v>
      </c>
      <c r="B78" s="7" t="s">
        <v>22</v>
      </c>
      <c r="C78" s="7" t="s">
        <v>22</v>
      </c>
      <c r="D78" s="7" t="s">
        <v>58</v>
      </c>
      <c r="E78" s="7" t="s">
        <v>79</v>
      </c>
      <c r="F78" s="7" t="s">
        <v>105</v>
      </c>
      <c r="G78" s="87">
        <f t="shared" si="17"/>
        <v>0</v>
      </c>
      <c r="H78" s="87">
        <f t="shared" si="17"/>
        <v>0</v>
      </c>
      <c r="I78" s="87">
        <f t="shared" si="17"/>
        <v>1</v>
      </c>
      <c r="J78" s="87">
        <f t="shared" si="18"/>
        <v>2</v>
      </c>
      <c r="K78" s="87">
        <f t="shared" si="19"/>
        <v>0</v>
      </c>
      <c r="L78" s="87">
        <f t="shared" si="20"/>
        <v>1</v>
      </c>
      <c r="M78" s="88">
        <f t="shared" si="21"/>
      </c>
      <c r="N78" s="89">
        <f t="shared" si="22"/>
      </c>
      <c r="O78" s="89">
        <f t="shared" si="23"/>
      </c>
      <c r="P78" s="89">
        <f t="shared" si="24"/>
      </c>
      <c r="Q78" s="2"/>
    </row>
    <row r="79" spans="1:17" ht="12.75">
      <c r="A79" s="7">
        <v>24015021</v>
      </c>
      <c r="B79" s="7" t="s">
        <v>22</v>
      </c>
      <c r="C79" s="7" t="s">
        <v>20</v>
      </c>
      <c r="D79" s="7" t="s">
        <v>58</v>
      </c>
      <c r="E79" s="7" t="s">
        <v>48</v>
      </c>
      <c r="F79" s="7" t="s">
        <v>105</v>
      </c>
      <c r="G79" s="87">
        <f t="shared" si="17"/>
        <v>0</v>
      </c>
      <c r="H79" s="87">
        <f t="shared" si="17"/>
        <v>0</v>
      </c>
      <c r="I79" s="87">
        <f t="shared" si="17"/>
        <v>1</v>
      </c>
      <c r="J79" s="87">
        <f t="shared" si="18"/>
        <v>2</v>
      </c>
      <c r="K79" s="87">
        <f t="shared" si="19"/>
        <v>0</v>
      </c>
      <c r="L79" s="87">
        <f t="shared" si="20"/>
        <v>2</v>
      </c>
      <c r="M79" s="88">
        <f t="shared" si="21"/>
      </c>
      <c r="N79" s="89">
        <f t="shared" si="22"/>
      </c>
      <c r="O79" s="89">
        <f t="shared" si="23"/>
      </c>
      <c r="P79" s="89">
        <f t="shared" si="24"/>
      </c>
      <c r="Q79" s="2"/>
    </row>
    <row r="80" spans="1:17" ht="12.75">
      <c r="A80" s="7">
        <v>31989014</v>
      </c>
      <c r="B80" s="7" t="s">
        <v>22</v>
      </c>
      <c r="C80" s="7" t="s">
        <v>20</v>
      </c>
      <c r="D80" s="7" t="s">
        <v>58</v>
      </c>
      <c r="E80" s="7" t="s">
        <v>7</v>
      </c>
      <c r="F80" s="7" t="s">
        <v>105</v>
      </c>
      <c r="G80" s="87">
        <f t="shared" si="17"/>
        <v>0</v>
      </c>
      <c r="H80" s="87">
        <f t="shared" si="17"/>
        <v>0</v>
      </c>
      <c r="I80" s="87">
        <f t="shared" si="17"/>
        <v>1</v>
      </c>
      <c r="J80" s="87">
        <f t="shared" si="18"/>
        <v>2</v>
      </c>
      <c r="K80" s="87">
        <f t="shared" si="19"/>
        <v>0</v>
      </c>
      <c r="L80" s="87">
        <f t="shared" si="20"/>
        <v>3</v>
      </c>
      <c r="M80" s="88">
        <f t="shared" si="21"/>
      </c>
      <c r="N80" s="89">
        <f t="shared" si="22"/>
      </c>
      <c r="O80" s="89">
        <f t="shared" si="23"/>
      </c>
      <c r="P80" s="89">
        <f t="shared" si="24"/>
      </c>
      <c r="Q80" s="2"/>
    </row>
    <row r="81" spans="1:17" ht="12.75">
      <c r="A81" s="7">
        <v>34703006</v>
      </c>
      <c r="B81" s="7" t="s">
        <v>22</v>
      </c>
      <c r="C81" s="7" t="s">
        <v>20</v>
      </c>
      <c r="D81" s="7" t="s">
        <v>58</v>
      </c>
      <c r="E81" s="7" t="s">
        <v>57</v>
      </c>
      <c r="F81" s="7" t="s">
        <v>105</v>
      </c>
      <c r="G81" s="87">
        <f t="shared" si="17"/>
        <v>0</v>
      </c>
      <c r="H81" s="87">
        <f t="shared" si="17"/>
        <v>0</v>
      </c>
      <c r="I81" s="87">
        <f t="shared" si="17"/>
        <v>1</v>
      </c>
      <c r="J81" s="87">
        <f t="shared" si="18"/>
        <v>2</v>
      </c>
      <c r="K81" s="87">
        <f t="shared" si="19"/>
        <v>0</v>
      </c>
      <c r="L81" s="87">
        <f t="shared" si="20"/>
        <v>4</v>
      </c>
      <c r="M81" s="88">
        <f t="shared" si="21"/>
      </c>
      <c r="N81" s="89">
        <f t="shared" si="22"/>
      </c>
      <c r="O81" s="89">
        <f t="shared" si="23"/>
      </c>
      <c r="P81" s="89">
        <f t="shared" si="24"/>
      </c>
      <c r="Q81" s="2"/>
    </row>
    <row r="82" spans="1:17" ht="12.75">
      <c r="A82" s="7">
        <v>35832001</v>
      </c>
      <c r="B82" s="7" t="s">
        <v>22</v>
      </c>
      <c r="C82" s="7" t="s">
        <v>20</v>
      </c>
      <c r="D82" s="7" t="s">
        <v>58</v>
      </c>
      <c r="E82" s="7" t="s">
        <v>52</v>
      </c>
      <c r="F82" s="7" t="s">
        <v>105</v>
      </c>
      <c r="G82" s="87">
        <f t="shared" si="17"/>
        <v>0</v>
      </c>
      <c r="H82" s="87">
        <f t="shared" si="17"/>
        <v>0</v>
      </c>
      <c r="I82" s="87">
        <f t="shared" si="17"/>
        <v>1</v>
      </c>
      <c r="J82" s="87">
        <f t="shared" si="18"/>
        <v>2</v>
      </c>
      <c r="K82" s="87">
        <f t="shared" si="19"/>
        <v>0</v>
      </c>
      <c r="L82" s="87">
        <f t="shared" si="20"/>
        <v>5</v>
      </c>
      <c r="M82" s="88" t="str">
        <f t="shared" si="21"/>
        <v>trauma</v>
      </c>
      <c r="N82" s="89">
        <f t="shared" si="22"/>
        <v>2</v>
      </c>
      <c r="O82" s="89">
        <f t="shared" si="23"/>
        <v>0</v>
      </c>
      <c r="P82" s="89">
        <f t="shared" si="24"/>
        <v>5</v>
      </c>
      <c r="Q82" s="2"/>
    </row>
    <row r="83" spans="1:17" ht="13.5" thickBot="1">
      <c r="A83" s="86">
        <v>22438005</v>
      </c>
      <c r="B83" s="86" t="s">
        <v>20</v>
      </c>
      <c r="C83" s="86" t="s">
        <v>20</v>
      </c>
      <c r="D83" s="85" t="s">
        <v>60</v>
      </c>
      <c r="E83" s="86" t="s">
        <v>90</v>
      </c>
      <c r="F83" s="86" t="s">
        <v>90</v>
      </c>
      <c r="G83" s="87">
        <f t="shared" si="17"/>
        <v>1</v>
      </c>
      <c r="H83" s="87">
        <f t="shared" si="17"/>
        <v>0</v>
      </c>
      <c r="I83" s="87">
        <f t="shared" si="17"/>
        <v>0</v>
      </c>
      <c r="J83" s="87">
        <f t="shared" si="18"/>
        <v>1</v>
      </c>
      <c r="K83" s="87">
        <f t="shared" si="19"/>
        <v>0</v>
      </c>
      <c r="L83" s="87">
        <f t="shared" si="20"/>
        <v>0</v>
      </c>
      <c r="M83" s="88" t="str">
        <f t="shared" si="21"/>
        <v>vomiting and diarrhea</v>
      </c>
      <c r="N83" s="89">
        <f t="shared" si="22"/>
        <v>1</v>
      </c>
      <c r="O83" s="89">
        <f t="shared" si="23"/>
        <v>0</v>
      </c>
      <c r="P83" s="89">
        <f t="shared" si="24"/>
        <v>0</v>
      </c>
      <c r="Q83" s="2"/>
    </row>
    <row r="84" spans="1:17" ht="12.75">
      <c r="A84" s="85">
        <v>32657012</v>
      </c>
      <c r="B84" s="85" t="s">
        <v>22</v>
      </c>
      <c r="C84" s="85" t="s">
        <v>20</v>
      </c>
      <c r="D84" s="85" t="s">
        <v>61</v>
      </c>
      <c r="E84" s="85" t="s">
        <v>6</v>
      </c>
      <c r="F84" s="85"/>
      <c r="G84" s="17"/>
      <c r="H84" s="17"/>
      <c r="I84" s="17"/>
      <c r="J84" s="17"/>
      <c r="K84" s="17"/>
      <c r="L84" s="17"/>
      <c r="M84" s="17"/>
      <c r="N84" s="17"/>
      <c r="O84" s="17"/>
      <c r="P84" s="17"/>
      <c r="Q84" s="2"/>
    </row>
    <row r="85" spans="1:17" ht="12.75">
      <c r="A85" s="7">
        <v>13251001</v>
      </c>
      <c r="B85" s="7" t="s">
        <v>20</v>
      </c>
      <c r="C85" s="7" t="s">
        <v>20</v>
      </c>
      <c r="D85" s="7" t="s">
        <v>61</v>
      </c>
      <c r="E85" s="7" t="s">
        <v>91</v>
      </c>
      <c r="F85" s="7"/>
      <c r="G85" s="17"/>
      <c r="H85" s="17"/>
      <c r="I85" s="17"/>
      <c r="J85" s="17"/>
      <c r="K85" s="17"/>
      <c r="L85" s="17"/>
      <c r="M85" s="17"/>
      <c r="N85" s="17"/>
      <c r="O85" s="17"/>
      <c r="P85" s="17"/>
      <c r="Q85" s="2"/>
    </row>
    <row r="86" spans="1:17" ht="12.75">
      <c r="A86" s="7">
        <v>31711014</v>
      </c>
      <c r="B86" s="7" t="s">
        <v>22</v>
      </c>
      <c r="C86" s="7" t="s">
        <v>20</v>
      </c>
      <c r="D86" s="7" t="s">
        <v>61</v>
      </c>
      <c r="E86" s="7" t="s">
        <v>92</v>
      </c>
      <c r="F86" s="7"/>
      <c r="G86" s="17"/>
      <c r="H86" s="17"/>
      <c r="I86" s="17"/>
      <c r="J86" s="17"/>
      <c r="K86" s="17"/>
      <c r="L86" s="17"/>
      <c r="M86" s="17"/>
      <c r="N86" s="17"/>
      <c r="O86" s="17"/>
      <c r="P86" s="17"/>
      <c r="Q86" s="2"/>
    </row>
    <row r="87" spans="1:17" ht="12.75">
      <c r="A87" s="7">
        <v>11504009</v>
      </c>
      <c r="B87" s="7" t="s">
        <v>20</v>
      </c>
      <c r="C87" s="7" t="s">
        <v>20</v>
      </c>
      <c r="D87" s="7" t="s">
        <v>61</v>
      </c>
      <c r="E87" s="7" t="s">
        <v>69</v>
      </c>
      <c r="F87" s="7"/>
      <c r="G87" s="17"/>
      <c r="H87" s="17"/>
      <c r="I87" s="17"/>
      <c r="J87" s="17"/>
      <c r="K87" s="17"/>
      <c r="L87" s="17"/>
      <c r="M87" s="17"/>
      <c r="N87" s="17"/>
      <c r="O87" s="17"/>
      <c r="P87" s="17"/>
      <c r="Q87" s="2"/>
    </row>
    <row r="88" spans="1:17" ht="12.75">
      <c r="A88" s="7">
        <v>9475009</v>
      </c>
      <c r="B88" s="7" t="s">
        <v>20</v>
      </c>
      <c r="C88" s="7" t="s">
        <v>20</v>
      </c>
      <c r="D88" s="7" t="s">
        <v>61</v>
      </c>
      <c r="E88" s="7" t="s">
        <v>93</v>
      </c>
      <c r="F88" s="7"/>
      <c r="G88" s="17"/>
      <c r="H88" s="17"/>
      <c r="I88" s="17"/>
      <c r="J88" s="17"/>
      <c r="K88" s="17"/>
      <c r="L88" s="17"/>
      <c r="M88" s="17"/>
      <c r="N88" s="17"/>
      <c r="O88" s="17"/>
      <c r="P88" s="17"/>
      <c r="Q88" s="2"/>
    </row>
    <row r="89" spans="1:17" ht="12.75">
      <c r="A89" s="7">
        <v>35390009</v>
      </c>
      <c r="B89" s="7" t="s">
        <v>22</v>
      </c>
      <c r="C89" s="7" t="s">
        <v>20</v>
      </c>
      <c r="D89" s="7" t="s">
        <v>61</v>
      </c>
      <c r="E89" s="7" t="s">
        <v>94</v>
      </c>
      <c r="F89" s="7"/>
      <c r="G89" s="17"/>
      <c r="H89" s="17"/>
      <c r="I89" s="17"/>
      <c r="J89" s="17"/>
      <c r="K89" s="17"/>
      <c r="L89" s="17"/>
      <c r="M89" s="17"/>
      <c r="N89" s="17"/>
      <c r="O89" s="17"/>
      <c r="P89" s="17"/>
      <c r="Q89" s="2"/>
    </row>
    <row r="90" spans="1:17" ht="12.75">
      <c r="A90" s="7">
        <v>32694011</v>
      </c>
      <c r="B90" s="7" t="s">
        <v>22</v>
      </c>
      <c r="C90" s="7" t="s">
        <v>20</v>
      </c>
      <c r="D90" s="7" t="s">
        <v>61</v>
      </c>
      <c r="E90" s="7" t="s">
        <v>95</v>
      </c>
      <c r="F90" s="7"/>
      <c r="G90" s="17"/>
      <c r="H90" s="17"/>
      <c r="I90" s="17"/>
      <c r="J90" s="17"/>
      <c r="K90" s="17"/>
      <c r="L90" s="17"/>
      <c r="M90" s="17"/>
      <c r="N90" s="17"/>
      <c r="O90" s="17"/>
      <c r="P90" s="17"/>
      <c r="Q90" s="2"/>
    </row>
    <row r="91" spans="1:17" ht="12.75">
      <c r="A91" s="7">
        <v>14655015</v>
      </c>
      <c r="B91" s="7" t="s">
        <v>22</v>
      </c>
      <c r="C91" s="7" t="s">
        <v>22</v>
      </c>
      <c r="D91" s="7" t="s">
        <v>61</v>
      </c>
      <c r="E91" s="7" t="s">
        <v>96</v>
      </c>
      <c r="F91" s="7"/>
      <c r="G91" s="17"/>
      <c r="H91" s="17"/>
      <c r="I91" s="17"/>
      <c r="J91" s="17"/>
      <c r="K91" s="17"/>
      <c r="L91" s="17"/>
      <c r="M91" s="17"/>
      <c r="N91" s="17"/>
      <c r="O91" s="17"/>
      <c r="P91" s="17"/>
      <c r="Q91" s="2"/>
    </row>
    <row r="92" spans="1:17" ht="12.75">
      <c r="A92" s="7">
        <v>34853011</v>
      </c>
      <c r="B92" s="7" t="s">
        <v>22</v>
      </c>
      <c r="C92" s="7" t="s">
        <v>20</v>
      </c>
      <c r="D92" s="7" t="s">
        <v>61</v>
      </c>
      <c r="E92" s="7" t="s">
        <v>98</v>
      </c>
      <c r="F92" s="7"/>
      <c r="G92" s="17"/>
      <c r="H92" s="17"/>
      <c r="I92" s="17"/>
      <c r="J92" s="17"/>
      <c r="K92" s="17"/>
      <c r="L92" s="17"/>
      <c r="M92" s="17"/>
      <c r="N92" s="17"/>
      <c r="O92" s="17"/>
      <c r="P92" s="17"/>
      <c r="Q92" s="2"/>
    </row>
    <row r="93" spans="1:17" ht="12.75">
      <c r="A93" s="7">
        <v>21368007</v>
      </c>
      <c r="B93" s="7" t="s">
        <v>20</v>
      </c>
      <c r="C93" s="7" t="s">
        <v>20</v>
      </c>
      <c r="D93" s="7" t="s">
        <v>61</v>
      </c>
      <c r="E93" s="7" t="s">
        <v>54</v>
      </c>
      <c r="F93" s="7"/>
      <c r="G93" s="17"/>
      <c r="H93" s="17"/>
      <c r="I93" s="17"/>
      <c r="J93" s="17"/>
      <c r="K93" s="17"/>
      <c r="L93" s="17"/>
      <c r="M93" s="17"/>
      <c r="N93" s="17"/>
      <c r="O93" s="17"/>
      <c r="P93" s="17"/>
      <c r="Q93" s="2"/>
    </row>
    <row r="94" spans="1:17" ht="12.75">
      <c r="A94" s="7">
        <v>1284028</v>
      </c>
      <c r="B94" s="7" t="s">
        <v>20</v>
      </c>
      <c r="C94" s="7" t="s">
        <v>20</v>
      </c>
      <c r="D94" s="7" t="s">
        <v>61</v>
      </c>
      <c r="E94" s="7" t="s">
        <v>97</v>
      </c>
      <c r="F94" s="7"/>
      <c r="G94" s="17"/>
      <c r="H94" s="17"/>
      <c r="I94" s="17"/>
      <c r="J94" s="17"/>
      <c r="K94" s="17"/>
      <c r="L94" s="17"/>
      <c r="M94" s="17"/>
      <c r="N94" s="17"/>
      <c r="O94" s="17"/>
      <c r="P94" s="17"/>
      <c r="Q94" s="2"/>
    </row>
    <row r="95" spans="1:17" ht="12.75">
      <c r="A95" s="7"/>
      <c r="B95" s="7"/>
      <c r="C95" s="7"/>
      <c r="D95" s="7"/>
      <c r="E95" s="7"/>
      <c r="F95" s="7"/>
      <c r="G95" s="17"/>
      <c r="H95" s="17"/>
      <c r="I95" s="17"/>
      <c r="J95" s="17"/>
      <c r="K95" s="17"/>
      <c r="L95" s="17"/>
      <c r="M95" s="17"/>
      <c r="N95" s="17"/>
      <c r="O95" s="17"/>
      <c r="P95" s="17"/>
      <c r="Q95" s="2"/>
    </row>
    <row r="96" spans="1:17" ht="13.5" thickBot="1">
      <c r="A96" s="3"/>
      <c r="B96" s="3"/>
      <c r="C96" s="3"/>
      <c r="D96" s="84"/>
      <c r="E96" s="3"/>
      <c r="F96" s="3"/>
      <c r="G96" s="3"/>
      <c r="H96" s="3"/>
      <c r="I96" s="3"/>
      <c r="J96" s="3"/>
      <c r="K96" s="3"/>
      <c r="L96" s="3"/>
      <c r="M96" s="3"/>
      <c r="N96" s="3"/>
      <c r="O96" s="3"/>
      <c r="P96" s="3"/>
      <c r="Q96" s="4"/>
    </row>
    <row r="97" ht="13.5" thickTop="1"/>
  </sheetData>
  <mergeCells count="9">
    <mergeCell ref="M1:P1"/>
    <mergeCell ref="A1:A2"/>
    <mergeCell ref="B1:B2"/>
    <mergeCell ref="C1:C2"/>
    <mergeCell ref="D1:D2"/>
    <mergeCell ref="E1:E2"/>
    <mergeCell ref="F1:F2"/>
    <mergeCell ref="G1:I1"/>
    <mergeCell ref="J1:L1"/>
  </mergeCells>
  <printOptions/>
  <pageMargins left="0.75" right="0.75" top="1" bottom="1" header="0.5" footer="0.5"/>
  <pageSetup horizontalDpi="600" verticalDpi="600" orientation="landscape" r:id="rId3"/>
  <legacyDrawing r:id="rId2"/>
</worksheet>
</file>

<file path=xl/worksheets/sheet4.xml><?xml version="1.0" encoding="utf-8"?>
<worksheet xmlns="http://schemas.openxmlformats.org/spreadsheetml/2006/main" xmlns:r="http://schemas.openxmlformats.org/officeDocument/2006/relationships">
  <dimension ref="A1:B2"/>
  <sheetViews>
    <sheetView workbookViewId="0" topLeftCell="A1">
      <selection activeCell="A8" sqref="A8"/>
    </sheetView>
  </sheetViews>
  <sheetFormatPr defaultColWidth="9.140625" defaultRowHeight="12.75"/>
  <cols>
    <col min="1" max="1" width="35.140625" style="0" customWidth="1"/>
    <col min="2" max="2" width="2.57421875" style="0" customWidth="1"/>
    <col min="3" max="3" width="3.00390625" style="0" customWidth="1"/>
  </cols>
  <sheetData>
    <row r="1" spans="1:2" ht="110.25" customHeight="1">
      <c r="A1" s="116" t="s">
        <v>129</v>
      </c>
      <c r="B1" s="2"/>
    </row>
    <row r="2" spans="1:2" ht="13.5" thickBot="1">
      <c r="A2" s="3"/>
      <c r="B2" s="4"/>
    </row>
    <row r="3" ht="13.5" thickTop="1"/>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57"/>
  <sheetViews>
    <sheetView tabSelected="1" workbookViewId="0" topLeftCell="A1">
      <selection activeCell="H35" sqref="H35"/>
    </sheetView>
  </sheetViews>
  <sheetFormatPr defaultColWidth="9.140625" defaultRowHeight="12.75"/>
  <cols>
    <col min="1" max="1" width="31.7109375" style="0" customWidth="1"/>
    <col min="2" max="2" width="8.8515625" style="0" customWidth="1"/>
    <col min="3" max="4" width="7.140625" style="0" customWidth="1"/>
    <col min="5" max="5" width="8.00390625" style="0" customWidth="1"/>
    <col min="6" max="7" width="7.00390625" style="0" customWidth="1"/>
    <col min="8" max="8" width="11.28125" style="0" customWidth="1"/>
    <col min="9" max="9" width="3.28125" style="0" customWidth="1"/>
    <col min="10" max="10" width="2.28125" style="0" customWidth="1"/>
  </cols>
  <sheetData>
    <row r="1" spans="1:9" ht="15">
      <c r="A1" s="29"/>
      <c r="B1" s="129" t="s">
        <v>36</v>
      </c>
      <c r="C1" s="129"/>
      <c r="D1" s="129"/>
      <c r="E1" s="130" t="s">
        <v>37</v>
      </c>
      <c r="F1" s="131"/>
      <c r="G1" s="131"/>
      <c r="H1" s="132" t="s">
        <v>38</v>
      </c>
      <c r="I1" s="2"/>
    </row>
    <row r="2" spans="1:9" ht="32.25" customHeight="1" thickBot="1">
      <c r="A2" s="15"/>
      <c r="B2" s="103" t="str">
        <f>'Patient Data'!N2</f>
        <v>control</v>
      </c>
      <c r="C2" s="104" t="str">
        <f>'Patient Data'!O2</f>
        <v>test 10 mg</v>
      </c>
      <c r="D2" s="105" t="str">
        <f>'Patient Data'!P2</f>
        <v>test 20 mg</v>
      </c>
      <c r="E2" s="104" t="str">
        <f>B2</f>
        <v>control</v>
      </c>
      <c r="F2" s="104" t="str">
        <f>C2</f>
        <v>test 10 mg</v>
      </c>
      <c r="G2" s="105" t="str">
        <f>D2</f>
        <v>test 20 mg</v>
      </c>
      <c r="H2" s="132"/>
      <c r="I2" s="2"/>
    </row>
    <row r="3" spans="1:9" ht="15.75" thickBot="1">
      <c r="A3" s="16" t="s">
        <v>28</v>
      </c>
      <c r="B3" s="10">
        <v>756</v>
      </c>
      <c r="C3" s="11">
        <v>757</v>
      </c>
      <c r="D3" s="11">
        <v>756</v>
      </c>
      <c r="E3" s="11">
        <v>489</v>
      </c>
      <c r="F3" s="11">
        <v>469</v>
      </c>
      <c r="G3" s="11">
        <v>478</v>
      </c>
      <c r="H3" s="132"/>
      <c r="I3" s="2"/>
    </row>
    <row r="4" spans="1:9" ht="12.75">
      <c r="A4" s="7" t="s">
        <v>42</v>
      </c>
      <c r="B4" s="9">
        <v>1</v>
      </c>
      <c r="C4" s="9">
        <v>1</v>
      </c>
      <c r="D4" s="93">
        <v>0</v>
      </c>
      <c r="E4" s="94"/>
      <c r="F4" s="51"/>
      <c r="G4" s="51"/>
      <c r="H4" s="90" t="s">
        <v>20</v>
      </c>
      <c r="I4" s="2"/>
    </row>
    <row r="5" spans="1:9" ht="12.75">
      <c r="A5" s="7" t="s">
        <v>107</v>
      </c>
      <c r="B5" s="6">
        <v>0</v>
      </c>
      <c r="C5" s="6">
        <v>0</v>
      </c>
      <c r="D5" s="8">
        <v>2</v>
      </c>
      <c r="E5" s="83">
        <v>1</v>
      </c>
      <c r="F5" s="6"/>
      <c r="G5" s="6"/>
      <c r="H5" s="79"/>
      <c r="I5" s="2"/>
    </row>
    <row r="6" spans="1:9" ht="12.75">
      <c r="A6" s="7" t="s">
        <v>103</v>
      </c>
      <c r="B6" s="6">
        <v>1</v>
      </c>
      <c r="C6" s="6">
        <v>0</v>
      </c>
      <c r="D6" s="8">
        <v>0</v>
      </c>
      <c r="E6" s="83"/>
      <c r="F6" s="6"/>
      <c r="G6" s="6"/>
      <c r="H6" s="79" t="s">
        <v>20</v>
      </c>
      <c r="I6" s="2"/>
    </row>
    <row r="7" spans="1:9" ht="12.75">
      <c r="A7" s="7" t="s">
        <v>6</v>
      </c>
      <c r="B7" s="6">
        <v>0</v>
      </c>
      <c r="C7" s="6">
        <v>0</v>
      </c>
      <c r="D7" s="8">
        <v>1</v>
      </c>
      <c r="E7" s="83"/>
      <c r="F7" s="6">
        <v>1</v>
      </c>
      <c r="G7" s="6">
        <v>1</v>
      </c>
      <c r="H7" s="79" t="s">
        <v>20</v>
      </c>
      <c r="I7" s="2"/>
    </row>
    <row r="8" spans="1:9" ht="12.75" customHeight="1">
      <c r="A8" s="7" t="s">
        <v>5</v>
      </c>
      <c r="B8" s="6">
        <v>0</v>
      </c>
      <c r="C8" s="6">
        <v>0</v>
      </c>
      <c r="D8" s="8">
        <v>1</v>
      </c>
      <c r="E8" s="83"/>
      <c r="F8" s="6"/>
      <c r="G8" s="6">
        <v>1</v>
      </c>
      <c r="H8" s="79"/>
      <c r="I8" s="2"/>
    </row>
    <row r="9" spans="1:9" ht="12.75" customHeight="1">
      <c r="A9" s="7" t="s">
        <v>97</v>
      </c>
      <c r="B9" s="6">
        <v>0</v>
      </c>
      <c r="C9" s="6">
        <v>0</v>
      </c>
      <c r="D9" s="8">
        <v>1</v>
      </c>
      <c r="E9" s="83"/>
      <c r="F9" s="6"/>
      <c r="G9" s="6">
        <v>1</v>
      </c>
      <c r="H9" s="91" t="s">
        <v>20</v>
      </c>
      <c r="I9" s="2"/>
    </row>
    <row r="10" spans="1:9" ht="12.75">
      <c r="A10" s="7" t="s">
        <v>17</v>
      </c>
      <c r="B10" s="6">
        <v>0</v>
      </c>
      <c r="C10" s="6">
        <v>0</v>
      </c>
      <c r="D10" s="8">
        <v>1</v>
      </c>
      <c r="E10" s="83"/>
      <c r="F10" s="6"/>
      <c r="G10" s="6">
        <v>1</v>
      </c>
      <c r="H10" s="91" t="s">
        <v>20</v>
      </c>
      <c r="I10" s="2"/>
    </row>
    <row r="11" spans="1:9" ht="13.5" customHeight="1">
      <c r="A11" s="7" t="s">
        <v>45</v>
      </c>
      <c r="B11" s="6">
        <v>1</v>
      </c>
      <c r="C11" s="6">
        <v>2</v>
      </c>
      <c r="D11" s="8">
        <v>1</v>
      </c>
      <c r="E11" s="83"/>
      <c r="F11" s="6"/>
      <c r="G11" s="6"/>
      <c r="H11" s="91" t="s">
        <v>20</v>
      </c>
      <c r="I11" s="2"/>
    </row>
    <row r="12" spans="1:9" ht="13.5" customHeight="1">
      <c r="A12" s="7" t="s">
        <v>18</v>
      </c>
      <c r="B12" s="6">
        <v>0</v>
      </c>
      <c r="C12" s="6">
        <v>2</v>
      </c>
      <c r="D12" s="8">
        <v>1</v>
      </c>
      <c r="E12" s="83"/>
      <c r="F12" s="6"/>
      <c r="G12" s="6"/>
      <c r="H12" s="91" t="s">
        <v>20</v>
      </c>
      <c r="I12" s="2"/>
    </row>
    <row r="13" spans="1:9" ht="13.5" customHeight="1">
      <c r="A13" s="7" t="s">
        <v>100</v>
      </c>
      <c r="B13" s="6">
        <v>3</v>
      </c>
      <c r="C13" s="6">
        <v>0</v>
      </c>
      <c r="D13" s="8">
        <v>0</v>
      </c>
      <c r="E13" s="83">
        <v>1</v>
      </c>
      <c r="F13" s="6"/>
      <c r="G13" s="6"/>
      <c r="H13" s="79"/>
      <c r="I13" s="2"/>
    </row>
    <row r="14" spans="1:9" ht="13.5" customHeight="1">
      <c r="A14" s="7" t="s">
        <v>74</v>
      </c>
      <c r="B14" s="6">
        <v>1</v>
      </c>
      <c r="C14" s="6">
        <v>2</v>
      </c>
      <c r="D14" s="8">
        <v>0</v>
      </c>
      <c r="E14" s="83"/>
      <c r="F14" s="6"/>
      <c r="G14" s="6"/>
      <c r="H14" s="79" t="s">
        <v>20</v>
      </c>
      <c r="I14" s="2"/>
    </row>
    <row r="15" spans="1:9" ht="12.75">
      <c r="A15" s="7" t="s">
        <v>111</v>
      </c>
      <c r="B15" s="6">
        <v>0</v>
      </c>
      <c r="C15" s="6">
        <v>0</v>
      </c>
      <c r="D15" s="8">
        <v>1</v>
      </c>
      <c r="E15" s="83"/>
      <c r="F15" s="6"/>
      <c r="G15" s="6"/>
      <c r="H15" s="79" t="s">
        <v>20</v>
      </c>
      <c r="I15" s="2"/>
    </row>
    <row r="16" spans="1:9" ht="13.5" customHeight="1">
      <c r="A16" s="7" t="s">
        <v>51</v>
      </c>
      <c r="B16" s="6">
        <v>2</v>
      </c>
      <c r="C16" s="6">
        <v>1</v>
      </c>
      <c r="D16" s="8">
        <v>0</v>
      </c>
      <c r="E16" s="83">
        <v>5</v>
      </c>
      <c r="F16" s="6">
        <v>1</v>
      </c>
      <c r="G16" s="6">
        <v>1</v>
      </c>
      <c r="H16" s="79" t="s">
        <v>20</v>
      </c>
      <c r="I16" s="2"/>
    </row>
    <row r="17" spans="1:9" s="71" customFormat="1" ht="13.5" customHeight="1">
      <c r="A17" s="7" t="s">
        <v>55</v>
      </c>
      <c r="B17" s="6">
        <v>0</v>
      </c>
      <c r="C17" s="6">
        <v>1</v>
      </c>
      <c r="D17" s="8">
        <v>0</v>
      </c>
      <c r="E17" s="83">
        <v>2</v>
      </c>
      <c r="F17" s="6"/>
      <c r="G17" s="6"/>
      <c r="H17" s="91"/>
      <c r="I17" s="70"/>
    </row>
    <row r="18" spans="1:9" ht="12.75">
      <c r="A18" s="69" t="s">
        <v>19</v>
      </c>
      <c r="B18" s="6">
        <v>1</v>
      </c>
      <c r="C18" s="6">
        <v>1</v>
      </c>
      <c r="D18" s="8">
        <v>0</v>
      </c>
      <c r="E18" s="83"/>
      <c r="F18" s="6"/>
      <c r="G18" s="6"/>
      <c r="H18" s="91"/>
      <c r="I18" s="2"/>
    </row>
    <row r="19" spans="1:9" ht="15.75" customHeight="1">
      <c r="A19" s="7" t="s">
        <v>77</v>
      </c>
      <c r="B19" s="6">
        <v>0</v>
      </c>
      <c r="C19" s="6">
        <v>0</v>
      </c>
      <c r="D19" s="8">
        <v>1</v>
      </c>
      <c r="E19" s="83"/>
      <c r="F19" s="6"/>
      <c r="G19" s="6"/>
      <c r="H19" s="91" t="s">
        <v>20</v>
      </c>
      <c r="I19" s="2"/>
    </row>
    <row r="20" spans="1:9" ht="15.75" customHeight="1">
      <c r="A20" s="7" t="s">
        <v>110</v>
      </c>
      <c r="B20" s="6">
        <v>1</v>
      </c>
      <c r="C20" s="6">
        <v>0</v>
      </c>
      <c r="D20" s="8">
        <v>1</v>
      </c>
      <c r="E20" s="83"/>
      <c r="F20" s="6"/>
      <c r="G20" s="6"/>
      <c r="H20" s="92"/>
      <c r="I20" s="2"/>
    </row>
    <row r="21" spans="1:9" ht="15.75" customHeight="1">
      <c r="A21" s="69" t="s">
        <v>106</v>
      </c>
      <c r="B21" s="6">
        <v>1</v>
      </c>
      <c r="C21" s="6">
        <v>0</v>
      </c>
      <c r="D21" s="8">
        <v>1</v>
      </c>
      <c r="E21" s="83"/>
      <c r="F21" s="6"/>
      <c r="G21" s="6"/>
      <c r="H21" s="79"/>
      <c r="I21" s="2"/>
    </row>
    <row r="22" spans="1:9" ht="15.75" customHeight="1">
      <c r="A22" s="7" t="s">
        <v>82</v>
      </c>
      <c r="B22" s="6">
        <v>1</v>
      </c>
      <c r="C22" s="6">
        <v>0</v>
      </c>
      <c r="D22" s="8">
        <v>0</v>
      </c>
      <c r="E22" s="83"/>
      <c r="F22" s="6">
        <v>1</v>
      </c>
      <c r="G22" s="6"/>
      <c r="H22" s="91"/>
      <c r="I22" s="2"/>
    </row>
    <row r="23" spans="1:9" ht="12.75">
      <c r="A23" s="7" t="s">
        <v>9</v>
      </c>
      <c r="B23" s="6">
        <v>0</v>
      </c>
      <c r="C23" s="6">
        <v>0</v>
      </c>
      <c r="D23" s="8">
        <v>1</v>
      </c>
      <c r="E23" s="83"/>
      <c r="F23" s="6">
        <v>1</v>
      </c>
      <c r="G23" s="6"/>
      <c r="H23" s="79" t="s">
        <v>20</v>
      </c>
      <c r="I23" s="2"/>
    </row>
    <row r="24" spans="1:9" ht="12" customHeight="1">
      <c r="A24" s="7" t="s">
        <v>108</v>
      </c>
      <c r="B24" s="6">
        <v>2</v>
      </c>
      <c r="C24" s="6">
        <v>1</v>
      </c>
      <c r="D24" s="8">
        <v>1</v>
      </c>
      <c r="E24" s="83"/>
      <c r="F24" s="6"/>
      <c r="G24" s="6"/>
      <c r="H24" s="79"/>
      <c r="I24" s="2"/>
    </row>
    <row r="25" spans="1:9" ht="12.75">
      <c r="A25" s="7" t="s">
        <v>109</v>
      </c>
      <c r="B25" s="6">
        <v>1</v>
      </c>
      <c r="C25" s="6">
        <v>4</v>
      </c>
      <c r="D25" s="8">
        <v>2</v>
      </c>
      <c r="E25" s="83">
        <v>0</v>
      </c>
      <c r="F25" s="6">
        <v>3</v>
      </c>
      <c r="G25" s="6">
        <v>2</v>
      </c>
      <c r="H25" s="79"/>
      <c r="I25" s="2"/>
    </row>
    <row r="26" spans="1:9" ht="12.75">
      <c r="A26" s="69" t="s">
        <v>16</v>
      </c>
      <c r="B26" s="6">
        <v>1</v>
      </c>
      <c r="C26" s="6">
        <v>0</v>
      </c>
      <c r="D26" s="8">
        <v>2</v>
      </c>
      <c r="E26" s="83">
        <v>1</v>
      </c>
      <c r="F26" s="6">
        <v>1</v>
      </c>
      <c r="G26" s="6"/>
      <c r="H26" s="79" t="s">
        <v>20</v>
      </c>
      <c r="I26" s="2"/>
    </row>
    <row r="27" spans="1:9" ht="12.75">
      <c r="A27" s="7" t="s">
        <v>104</v>
      </c>
      <c r="B27" s="6">
        <v>6</v>
      </c>
      <c r="C27" s="6">
        <v>1</v>
      </c>
      <c r="D27" s="8">
        <v>2</v>
      </c>
      <c r="E27" s="83"/>
      <c r="F27" s="6"/>
      <c r="G27" s="6">
        <v>1</v>
      </c>
      <c r="H27" s="91"/>
      <c r="I27" s="2"/>
    </row>
    <row r="28" spans="1:9" ht="13.5" customHeight="1">
      <c r="A28" s="7" t="s">
        <v>47</v>
      </c>
      <c r="B28" s="6">
        <v>0</v>
      </c>
      <c r="C28" s="6">
        <v>1</v>
      </c>
      <c r="D28" s="8">
        <v>0</v>
      </c>
      <c r="E28" s="83">
        <v>1</v>
      </c>
      <c r="F28" s="6"/>
      <c r="G28" s="6"/>
      <c r="H28" s="79"/>
      <c r="I28" s="2"/>
    </row>
    <row r="29" spans="1:9" ht="15" customHeight="1">
      <c r="A29" s="7" t="s">
        <v>101</v>
      </c>
      <c r="B29" s="6">
        <v>0</v>
      </c>
      <c r="C29" s="6">
        <v>0</v>
      </c>
      <c r="D29" s="8">
        <v>1</v>
      </c>
      <c r="E29" s="83"/>
      <c r="F29" s="6"/>
      <c r="G29" s="6">
        <v>1</v>
      </c>
      <c r="H29" s="91" t="s">
        <v>20</v>
      </c>
      <c r="I29" s="2"/>
    </row>
    <row r="30" spans="1:9" ht="15" customHeight="1">
      <c r="A30" s="7" t="s">
        <v>10</v>
      </c>
      <c r="B30" s="6">
        <v>2</v>
      </c>
      <c r="C30" s="6">
        <v>0</v>
      </c>
      <c r="D30" s="8">
        <v>1</v>
      </c>
      <c r="E30" s="83">
        <v>2</v>
      </c>
      <c r="F30" s="6">
        <v>0</v>
      </c>
      <c r="G30" s="6">
        <v>0</v>
      </c>
      <c r="H30" s="91"/>
      <c r="I30" s="2"/>
    </row>
    <row r="31" spans="1:9" ht="15" customHeight="1">
      <c r="A31" s="7" t="s">
        <v>11</v>
      </c>
      <c r="B31" s="6">
        <v>0</v>
      </c>
      <c r="C31" s="6">
        <v>0</v>
      </c>
      <c r="D31" s="8">
        <v>1</v>
      </c>
      <c r="E31" s="83">
        <v>1</v>
      </c>
      <c r="F31" s="6"/>
      <c r="G31" s="6"/>
      <c r="H31" s="91"/>
      <c r="I31" s="2"/>
    </row>
    <row r="32" spans="1:9" ht="12.75">
      <c r="A32" s="7" t="s">
        <v>102</v>
      </c>
      <c r="B32" s="6">
        <v>0</v>
      </c>
      <c r="C32" s="6">
        <v>0</v>
      </c>
      <c r="D32" s="8">
        <v>1</v>
      </c>
      <c r="E32" s="83"/>
      <c r="F32" s="6"/>
      <c r="G32" s="6"/>
      <c r="H32" s="79" t="s">
        <v>20</v>
      </c>
      <c r="I32" s="2"/>
    </row>
    <row r="33" spans="1:9" ht="12.75">
      <c r="A33" s="7" t="s">
        <v>8</v>
      </c>
      <c r="B33" s="6">
        <v>2</v>
      </c>
      <c r="C33" s="6">
        <v>1</v>
      </c>
      <c r="D33" s="8">
        <v>0</v>
      </c>
      <c r="E33" s="83"/>
      <c r="F33" s="6"/>
      <c r="G33" s="6">
        <v>1</v>
      </c>
      <c r="H33" s="91" t="s">
        <v>20</v>
      </c>
      <c r="I33" s="2"/>
    </row>
    <row r="34" spans="1:9" ht="15.75" customHeight="1">
      <c r="A34" s="7" t="s">
        <v>53</v>
      </c>
      <c r="B34" s="6">
        <v>2</v>
      </c>
      <c r="C34" s="6">
        <v>1</v>
      </c>
      <c r="D34" s="8">
        <v>1</v>
      </c>
      <c r="E34" s="83"/>
      <c r="F34" s="6"/>
      <c r="G34" s="6"/>
      <c r="H34" s="79" t="s">
        <v>20</v>
      </c>
      <c r="I34" s="2"/>
    </row>
    <row r="35" spans="1:9" ht="12.75">
      <c r="A35" s="7" t="s">
        <v>105</v>
      </c>
      <c r="B35" s="6">
        <v>2</v>
      </c>
      <c r="C35" s="6">
        <v>0</v>
      </c>
      <c r="D35" s="8">
        <v>5</v>
      </c>
      <c r="E35" s="83">
        <v>1</v>
      </c>
      <c r="F35" s="6"/>
      <c r="G35" s="6">
        <v>1</v>
      </c>
      <c r="H35" s="79"/>
      <c r="I35" s="2"/>
    </row>
    <row r="36" spans="1:9" ht="13.5" customHeight="1">
      <c r="A36" s="7" t="s">
        <v>90</v>
      </c>
      <c r="B36" s="6">
        <v>1</v>
      </c>
      <c r="C36" s="6">
        <v>0</v>
      </c>
      <c r="D36" s="8">
        <v>0</v>
      </c>
      <c r="E36" s="83"/>
      <c r="F36" s="6"/>
      <c r="G36" s="6"/>
      <c r="H36" s="79"/>
      <c r="I36" s="2"/>
    </row>
    <row r="37" spans="1:9" ht="13.5" customHeight="1">
      <c r="A37" s="7"/>
      <c r="B37" s="7"/>
      <c r="C37" s="7"/>
      <c r="D37" s="95"/>
      <c r="E37" s="83"/>
      <c r="F37" s="6"/>
      <c r="G37" s="6"/>
      <c r="H37" s="79"/>
      <c r="I37" s="2"/>
    </row>
    <row r="38" spans="1:9" ht="12.75">
      <c r="A38" s="7"/>
      <c r="B38" s="6"/>
      <c r="C38" s="6"/>
      <c r="D38" s="96"/>
      <c r="E38" s="83"/>
      <c r="F38" s="6"/>
      <c r="G38" s="6"/>
      <c r="H38" s="79"/>
      <c r="I38" s="2"/>
    </row>
    <row r="39" spans="1:9" ht="12.75">
      <c r="A39" s="7"/>
      <c r="B39" s="6"/>
      <c r="C39" s="6"/>
      <c r="D39" s="96"/>
      <c r="E39" s="83"/>
      <c r="F39" s="6"/>
      <c r="G39" s="6"/>
      <c r="H39" s="79"/>
      <c r="I39" s="2"/>
    </row>
    <row r="40" spans="1:9" ht="12.75">
      <c r="A40" s="7"/>
      <c r="B40" s="6"/>
      <c r="C40" s="6"/>
      <c r="D40" s="96"/>
      <c r="E40" s="83"/>
      <c r="F40" s="6"/>
      <c r="G40" s="6"/>
      <c r="H40" s="91"/>
      <c r="I40" s="2"/>
    </row>
    <row r="41" spans="1:9" ht="15.75" customHeight="1">
      <c r="A41" s="7"/>
      <c r="B41" s="6"/>
      <c r="C41" s="6"/>
      <c r="D41" s="96"/>
      <c r="E41" s="83"/>
      <c r="F41" s="6"/>
      <c r="G41" s="6"/>
      <c r="H41" s="91"/>
      <c r="I41" s="2"/>
    </row>
    <row r="42" spans="1:9" ht="12.75">
      <c r="A42" s="7"/>
      <c r="B42" s="6"/>
      <c r="C42" s="6"/>
      <c r="D42" s="96"/>
      <c r="E42" s="83"/>
      <c r="F42" s="6"/>
      <c r="G42" s="6"/>
      <c r="H42" s="79"/>
      <c r="I42" s="2"/>
    </row>
    <row r="43" spans="1:9" ht="12.75">
      <c r="A43" s="7"/>
      <c r="B43" s="6"/>
      <c r="C43" s="6"/>
      <c r="D43" s="96"/>
      <c r="E43" s="83"/>
      <c r="F43" s="6"/>
      <c r="G43" s="6"/>
      <c r="H43" s="79"/>
      <c r="I43" s="2"/>
    </row>
    <row r="44" spans="1:9" ht="12.75">
      <c r="A44" s="7"/>
      <c r="B44" s="6"/>
      <c r="C44" s="6"/>
      <c r="D44" s="96"/>
      <c r="E44" s="83"/>
      <c r="F44" s="6"/>
      <c r="G44" s="6"/>
      <c r="H44" s="79"/>
      <c r="I44" s="2"/>
    </row>
    <row r="45" spans="1:9" ht="15.75" customHeight="1">
      <c r="A45" s="7"/>
      <c r="B45" s="6"/>
      <c r="C45" s="6"/>
      <c r="D45" s="96"/>
      <c r="E45" s="83"/>
      <c r="F45" s="6"/>
      <c r="G45" s="6"/>
      <c r="H45" s="79"/>
      <c r="I45" s="2"/>
    </row>
    <row r="46" spans="1:9" ht="15.75" customHeight="1">
      <c r="A46" s="7" t="s">
        <v>116</v>
      </c>
      <c r="B46" s="6" t="s">
        <v>116</v>
      </c>
      <c r="C46" s="6" t="s">
        <v>116</v>
      </c>
      <c r="D46" s="96" t="s">
        <v>116</v>
      </c>
      <c r="E46" s="83"/>
      <c r="F46" s="6"/>
      <c r="G46" s="6"/>
      <c r="H46" s="79"/>
      <c r="I46" s="2"/>
    </row>
    <row r="47" spans="1:9" ht="12.75">
      <c r="A47" s="7"/>
      <c r="B47" s="7"/>
      <c r="C47" s="7"/>
      <c r="D47" s="95"/>
      <c r="E47" s="83"/>
      <c r="F47" s="6"/>
      <c r="G47" s="6"/>
      <c r="H47" s="79"/>
      <c r="I47" s="2"/>
    </row>
    <row r="48" spans="1:9" ht="13.5" customHeight="1">
      <c r="A48" s="69" t="s">
        <v>116</v>
      </c>
      <c r="B48" s="6" t="s">
        <v>116</v>
      </c>
      <c r="C48" s="6" t="s">
        <v>116</v>
      </c>
      <c r="D48" s="96" t="s">
        <v>116</v>
      </c>
      <c r="E48" s="83"/>
      <c r="F48" s="6"/>
      <c r="G48" s="6"/>
      <c r="H48" s="79"/>
      <c r="I48" s="2"/>
    </row>
    <row r="49" spans="1:9" ht="12.75">
      <c r="A49" s="7" t="s">
        <v>116</v>
      </c>
      <c r="B49" s="6" t="s">
        <v>116</v>
      </c>
      <c r="C49" s="6" t="s">
        <v>116</v>
      </c>
      <c r="D49" s="96" t="s">
        <v>116</v>
      </c>
      <c r="E49" s="83"/>
      <c r="F49" s="6"/>
      <c r="G49" s="6"/>
      <c r="H49" s="79"/>
      <c r="I49" s="2"/>
    </row>
    <row r="50" spans="1:9" ht="13.5" thickBot="1">
      <c r="A50" s="3" t="s">
        <v>116</v>
      </c>
      <c r="B50" s="3" t="s">
        <v>116</v>
      </c>
      <c r="C50" s="3" t="s">
        <v>116</v>
      </c>
      <c r="D50" s="3" t="s">
        <v>116</v>
      </c>
      <c r="E50" s="3"/>
      <c r="F50" s="3"/>
      <c r="G50" s="3"/>
      <c r="H50" s="3"/>
      <c r="I50" s="4"/>
    </row>
    <row r="51" spans="1:4" ht="13.5" thickTop="1"/>
    <row r="52" spans="1:4" ht="12.75"/>
    <row r="53" spans="1:4" ht="12.75"/>
    <row r="54" spans="1:4" ht="12.75"/>
    <row r="55" spans="1:4" ht="12.75"/>
    <row r="56" spans="1:4" ht="12.75"/>
    <row r="57" spans="1:4" ht="12.75"/>
  </sheetData>
  <mergeCells count="3">
    <mergeCell ref="B1:D1"/>
    <mergeCell ref="E1:G1"/>
    <mergeCell ref="H1:H3"/>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M61"/>
  <sheetViews>
    <sheetView workbookViewId="0" topLeftCell="A1">
      <selection activeCell="P24" sqref="P24"/>
    </sheetView>
  </sheetViews>
  <sheetFormatPr defaultColWidth="9.140625" defaultRowHeight="12.75"/>
  <cols>
    <col min="1" max="1" width="4.00390625" style="0" customWidth="1"/>
    <col min="2" max="2" width="24.8515625" style="0" customWidth="1"/>
    <col min="3" max="3" width="8.7109375" style="0" customWidth="1"/>
    <col min="4" max="4" width="8.00390625" style="0" customWidth="1"/>
    <col min="5" max="5" width="10.00390625" style="0" customWidth="1"/>
    <col min="6" max="6" width="9.7109375" style="0" customWidth="1"/>
    <col min="7" max="7" width="4.00390625" style="0" customWidth="1"/>
    <col min="8" max="8" width="24.8515625" style="0" customWidth="1"/>
    <col min="9" max="9" width="7.8515625" style="0" customWidth="1"/>
    <col min="10" max="10" width="8.00390625" style="0" customWidth="1"/>
    <col min="11" max="11" width="9.8515625" style="0" customWidth="1"/>
    <col min="12" max="12" width="9.7109375" style="0" customWidth="1"/>
    <col min="13" max="13" width="3.28125" style="0" customWidth="1"/>
    <col min="14" max="14" width="2.28125" style="0" customWidth="1"/>
  </cols>
  <sheetData>
    <row r="1" spans="1:13" ht="16.5" customHeight="1" thickBot="1">
      <c r="A1" s="133" t="s">
        <v>36</v>
      </c>
      <c r="B1" s="133"/>
      <c r="C1" s="133"/>
      <c r="D1" s="133"/>
      <c r="E1" s="133"/>
      <c r="F1" s="134"/>
      <c r="G1" s="133" t="s">
        <v>37</v>
      </c>
      <c r="H1" s="133"/>
      <c r="I1" s="133"/>
      <c r="J1" s="133"/>
      <c r="K1" s="133"/>
      <c r="L1" s="134"/>
      <c r="M1" s="2"/>
    </row>
    <row r="2" spans="1:13" ht="15.75" thickBot="1">
      <c r="A2" s="135" t="s">
        <v>39</v>
      </c>
      <c r="B2" s="136"/>
      <c r="C2" s="136"/>
      <c r="D2" s="136"/>
      <c r="E2" s="136"/>
      <c r="F2" s="137"/>
      <c r="G2" s="135" t="s">
        <v>39</v>
      </c>
      <c r="H2" s="136"/>
      <c r="I2" s="136"/>
      <c r="J2" s="136"/>
      <c r="K2" s="136"/>
      <c r="L2" s="137"/>
      <c r="M2" s="2"/>
    </row>
    <row r="3" spans="1:13" ht="30">
      <c r="A3" s="56"/>
      <c r="B3" s="22"/>
      <c r="C3" s="119" t="str">
        <f>'Summary Listing'!$B2</f>
        <v>control</v>
      </c>
      <c r="D3" s="120" t="str">
        <f>'Summary Listing'!$C$2</f>
        <v>test 10 mg</v>
      </c>
      <c r="E3" s="120" t="str">
        <f>'Summary Listing'!$D$2</f>
        <v>test 20 mg</v>
      </c>
      <c r="F3" s="64" t="s">
        <v>23</v>
      </c>
      <c r="G3" s="56"/>
      <c r="H3" s="22"/>
      <c r="I3" s="119" t="str">
        <f>C3</f>
        <v>control</v>
      </c>
      <c r="J3" s="120" t="str">
        <f>D3</f>
        <v>test 10 mg</v>
      </c>
      <c r="K3" s="120" t="str">
        <f>E3</f>
        <v>test 20 mg</v>
      </c>
      <c r="L3" s="64" t="s">
        <v>23</v>
      </c>
      <c r="M3" s="2"/>
    </row>
    <row r="4" spans="1:13" ht="15">
      <c r="A4" s="56"/>
      <c r="B4" s="17"/>
      <c r="C4" s="40"/>
      <c r="D4" s="40"/>
      <c r="E4" s="40"/>
      <c r="F4" s="64"/>
      <c r="G4" s="56"/>
      <c r="H4" s="17"/>
      <c r="I4" s="40"/>
      <c r="J4" s="40"/>
      <c r="K4" s="40"/>
      <c r="L4" s="64"/>
      <c r="M4" s="2"/>
    </row>
    <row r="5" spans="1:13" ht="15.75" thickBot="1">
      <c r="A5" s="56"/>
      <c r="B5" s="17"/>
      <c r="C5" s="40"/>
      <c r="D5" s="40"/>
      <c r="E5" s="40"/>
      <c r="F5" s="64"/>
      <c r="G5" s="56"/>
      <c r="H5" s="17"/>
      <c r="I5" s="40"/>
      <c r="J5" s="40"/>
      <c r="K5" s="40"/>
      <c r="L5" s="64"/>
      <c r="M5" s="2"/>
    </row>
    <row r="6" spans="1:13" ht="15.75" thickBot="1">
      <c r="A6" s="56"/>
      <c r="B6" s="41" t="s">
        <v>21</v>
      </c>
      <c r="C6" s="43">
        <f>'Summary Listing'!B3</f>
        <v>756</v>
      </c>
      <c r="D6" s="43">
        <f>'Summary Listing'!C3</f>
        <v>757</v>
      </c>
      <c r="E6" s="43">
        <f>'Summary Listing'!D3</f>
        <v>756</v>
      </c>
      <c r="F6" s="108">
        <f>SUM(C6:E6)</f>
        <v>2269</v>
      </c>
      <c r="G6" s="56"/>
      <c r="H6" s="41" t="s">
        <v>21</v>
      </c>
      <c r="I6" s="43">
        <f>'Summary Listing'!E3</f>
        <v>489</v>
      </c>
      <c r="J6" s="43">
        <f>'Summary Listing'!F3</f>
        <v>469</v>
      </c>
      <c r="K6" s="43">
        <f>'Summary Listing'!G3</f>
        <v>478</v>
      </c>
      <c r="L6" s="114">
        <f>SUM(I6:K6)</f>
        <v>1436</v>
      </c>
      <c r="M6" s="2"/>
    </row>
    <row r="7" spans="1:13" ht="15.75" customHeight="1" thickBot="1">
      <c r="A7" s="56"/>
      <c r="B7" s="20" t="s">
        <v>32</v>
      </c>
      <c r="C7" s="43">
        <f>SUMIF(selection,"yes",AllAEs_treatment1)</f>
        <v>11</v>
      </c>
      <c r="D7" s="43">
        <f>SUMIF(selection,"yes",AllAEs_treatment2)</f>
        <v>10</v>
      </c>
      <c r="E7" s="43">
        <f>SUMIF(selection,"yes",AllAEs_treatment3)</f>
        <v>13</v>
      </c>
      <c r="F7" s="109">
        <f>SUM(C7:E7)</f>
        <v>34</v>
      </c>
      <c r="G7" s="81"/>
      <c r="H7" s="20" t="s">
        <v>32</v>
      </c>
      <c r="I7" s="44">
        <f>SUMIF(selection,"yes",NaiveAEs_treatment1)</f>
        <v>6</v>
      </c>
      <c r="J7" s="44">
        <f>SUMIF(selection,"yes",NaiveAEs_treatment2)</f>
        <v>4</v>
      </c>
      <c r="K7" s="44">
        <f>SUMIF(selection,"yes",NaiveAEs_treatment3)</f>
        <v>6</v>
      </c>
      <c r="L7" s="114">
        <f>SUM(I7:K7)</f>
        <v>16</v>
      </c>
      <c r="M7" s="2"/>
    </row>
    <row r="8" spans="1:13" ht="12.75" customHeight="1" thickBot="1">
      <c r="A8" s="56"/>
      <c r="B8" s="20" t="s">
        <v>33</v>
      </c>
      <c r="C8" s="43">
        <f>C6-C7</f>
        <v>745</v>
      </c>
      <c r="D8" s="43">
        <f>D6-D7</f>
        <v>747</v>
      </c>
      <c r="E8" s="43">
        <f>E6-E7</f>
        <v>743</v>
      </c>
      <c r="F8" s="109">
        <f>SUM(C8:E8)</f>
        <v>2235</v>
      </c>
      <c r="G8" s="81"/>
      <c r="H8" s="20" t="s">
        <v>33</v>
      </c>
      <c r="I8" s="112">
        <f>I6-I7</f>
        <v>483</v>
      </c>
      <c r="J8" s="112">
        <f>J6-J7</f>
        <v>465</v>
      </c>
      <c r="K8" s="112">
        <f>K6-K7</f>
        <v>472</v>
      </c>
      <c r="L8" s="114">
        <f>SUM(I8:K8)</f>
        <v>1420</v>
      </c>
      <c r="M8" s="2"/>
    </row>
    <row r="9" spans="1:13" ht="13.5" thickBot="1">
      <c r="A9" s="56"/>
      <c r="B9" s="19"/>
      <c r="C9" s="17"/>
      <c r="D9" s="17"/>
      <c r="E9" s="17"/>
      <c r="F9" s="65"/>
      <c r="G9" s="56"/>
      <c r="H9" s="19"/>
      <c r="I9" s="17"/>
      <c r="J9" s="17"/>
      <c r="K9" s="17"/>
      <c r="L9" s="60"/>
      <c r="M9" s="2"/>
    </row>
    <row r="10" spans="1:13" ht="13.5" customHeight="1" hidden="1" thickBot="1">
      <c r="A10" s="56"/>
      <c r="B10" s="18" t="s">
        <v>24</v>
      </c>
      <c r="C10" s="5">
        <f>C$6/$F$6*$F7</f>
        <v>11.328338475099162</v>
      </c>
      <c r="D10" s="5">
        <f>D6/$F6*$F7</f>
        <v>11.343323049801675</v>
      </c>
      <c r="E10" s="5">
        <f>E6/$F6*$F7</f>
        <v>11.328338475099162</v>
      </c>
      <c r="F10" s="66">
        <f>SUM(C10:E10)</f>
        <v>34</v>
      </c>
      <c r="G10" s="56"/>
      <c r="H10" s="18" t="s">
        <v>24</v>
      </c>
      <c r="I10" s="5">
        <f>I$6/$L$6*$L7</f>
        <v>5.4484679665738165</v>
      </c>
      <c r="J10" s="5">
        <f>J6/$L6*$L7</f>
        <v>5.225626740947075</v>
      </c>
      <c r="K10" s="5">
        <f>K6/$L6*$L7</f>
        <v>5.325905292479109</v>
      </c>
      <c r="L10" s="67">
        <f>SUM(I10:K10)</f>
        <v>16</v>
      </c>
      <c r="M10" s="2"/>
    </row>
    <row r="11" spans="1:13" ht="13.5" customHeight="1" hidden="1" thickBot="1">
      <c r="A11" s="56"/>
      <c r="B11" s="18" t="s">
        <v>25</v>
      </c>
      <c r="C11" s="5">
        <f>C$6/$F$6*$F8</f>
        <v>744.6716615249009</v>
      </c>
      <c r="D11" s="5">
        <f>D$6/$F$6*$F8</f>
        <v>745.6566769501983</v>
      </c>
      <c r="E11" s="5">
        <f>E$6/$F$6*$F8</f>
        <v>744.6716615249009</v>
      </c>
      <c r="F11" s="66">
        <f>SUM(C11:E11)</f>
        <v>2235</v>
      </c>
      <c r="G11" s="56"/>
      <c r="H11" s="18" t="s">
        <v>25</v>
      </c>
      <c r="I11" s="5">
        <f>I$6/$L$6*$L8</f>
        <v>483.5515320334262</v>
      </c>
      <c r="J11" s="5">
        <f>J$6/$L$6*$L8</f>
        <v>463.77437325905294</v>
      </c>
      <c r="K11" s="5">
        <f>K$6/$L$6*$L8</f>
        <v>472.6740947075209</v>
      </c>
      <c r="L11" s="67">
        <f>SUM(I11:K11)</f>
        <v>1420</v>
      </c>
      <c r="M11" s="2"/>
    </row>
    <row r="12" spans="1:13" ht="13.5" customHeight="1" hidden="1" thickBot="1">
      <c r="A12" s="56"/>
      <c r="B12" s="68"/>
      <c r="C12" s="23"/>
      <c r="D12" s="23"/>
      <c r="E12" s="23"/>
      <c r="F12" s="80"/>
      <c r="G12" s="81"/>
      <c r="H12" s="68"/>
      <c r="I12" s="23"/>
      <c r="J12" s="23"/>
      <c r="K12" s="23"/>
      <c r="L12" s="82"/>
      <c r="M12" s="2"/>
    </row>
    <row r="13" spans="1:13" ht="13.5" hidden="1" thickBot="1">
      <c r="A13" s="56"/>
      <c r="B13" s="138" t="s">
        <v>26</v>
      </c>
      <c r="C13" s="5">
        <f aca="true" t="shared" si="0" ref="C13:E14">(C7-C10)*(C7-C10)/C10</f>
        <v>0.009516501865424666</v>
      </c>
      <c r="D13" s="5">
        <f t="shared" si="0"/>
        <v>0.15908185001925204</v>
      </c>
      <c r="E13" s="5">
        <f t="shared" si="0"/>
        <v>0.24667803314460315</v>
      </c>
      <c r="F13" s="60"/>
      <c r="G13" s="56"/>
      <c r="H13" s="138" t="s">
        <v>26</v>
      </c>
      <c r="I13" s="5">
        <f aca="true" t="shared" si="1" ref="I13:K14">(I7-I10)*(I7-I10)/I10</f>
        <v>0.05582992976400014</v>
      </c>
      <c r="J13" s="5">
        <f t="shared" si="1"/>
        <v>0.2874604296464356</v>
      </c>
      <c r="K13" s="5">
        <f t="shared" si="1"/>
        <v>0.08531951842053112</v>
      </c>
      <c r="L13" s="60"/>
      <c r="M13" s="2"/>
    </row>
    <row r="14" spans="1:13" s="71" customFormat="1" ht="13.5" hidden="1" thickBot="1">
      <c r="A14" s="72"/>
      <c r="B14" s="138"/>
      <c r="C14" s="5">
        <f t="shared" si="0"/>
        <v>0.00014477005074917386</v>
      </c>
      <c r="D14" s="5">
        <f t="shared" si="0"/>
        <v>0.0024200370920155955</v>
      </c>
      <c r="E14" s="5">
        <f t="shared" si="0"/>
        <v>0.003752596477367644</v>
      </c>
      <c r="F14" s="73"/>
      <c r="G14" s="72"/>
      <c r="H14" s="138"/>
      <c r="I14" s="5">
        <f t="shared" si="1"/>
        <v>0.0006290696311437304</v>
      </c>
      <c r="J14" s="5">
        <f t="shared" si="1"/>
        <v>0.003238990756579495</v>
      </c>
      <c r="K14" s="5">
        <f t="shared" si="1"/>
        <v>0.0009613466864285678</v>
      </c>
      <c r="L14" s="73"/>
      <c r="M14" s="70"/>
    </row>
    <row r="15" spans="1:13" ht="13.5" hidden="1" thickBot="1">
      <c r="A15" s="56"/>
      <c r="B15" s="17"/>
      <c r="C15" s="17"/>
      <c r="D15" s="17"/>
      <c r="E15" s="17"/>
      <c r="F15" s="60"/>
      <c r="G15" s="56"/>
      <c r="H15" s="17"/>
      <c r="I15" s="17"/>
      <c r="J15" s="17"/>
      <c r="K15" s="17"/>
      <c r="L15" s="60"/>
      <c r="M15" s="2"/>
    </row>
    <row r="16" spans="1:13" ht="15.75" customHeight="1" thickBot="1">
      <c r="A16" s="56"/>
      <c r="B16" s="21" t="s">
        <v>27</v>
      </c>
      <c r="C16" s="110">
        <f>SUM(C13:E14)</f>
        <v>0.4215937886494123</v>
      </c>
      <c r="D16" s="23"/>
      <c r="E16" s="28" t="str">
        <f>"P &lt; "&amp;VLOOKUP(C16,chi_square_2DF,2,TRUE)</f>
        <v>P &lt; 0.9</v>
      </c>
      <c r="F16" s="60"/>
      <c r="G16" s="56"/>
      <c r="H16" s="21" t="s">
        <v>27</v>
      </c>
      <c r="I16" s="110">
        <f>SUM(I13:K14)</f>
        <v>0.4334392849051186</v>
      </c>
      <c r="J16" s="23"/>
      <c r="K16" s="28" t="str">
        <f>"P &lt; "&amp;VLOOKUP(I16,chi_square_2DF,2,TRUE)</f>
        <v>P &lt; 0.9</v>
      </c>
      <c r="L16" s="60"/>
      <c r="M16" s="2"/>
    </row>
    <row r="17" spans="1:13" ht="13.5" thickBot="1">
      <c r="A17" s="54"/>
      <c r="B17" s="139"/>
      <c r="C17" s="140"/>
      <c r="D17" s="140"/>
      <c r="E17" s="140"/>
      <c r="F17" s="141"/>
      <c r="G17" s="54"/>
      <c r="H17" s="139"/>
      <c r="I17" s="140"/>
      <c r="J17" s="140"/>
      <c r="K17" s="140"/>
      <c r="L17" s="141"/>
      <c r="M17" s="2"/>
    </row>
    <row r="18" spans="1:13" ht="15.75" customHeight="1" thickBot="1">
      <c r="A18" s="142" t="s">
        <v>40</v>
      </c>
      <c r="B18" s="142"/>
      <c r="C18" s="142"/>
      <c r="D18" s="142"/>
      <c r="E18" s="142"/>
      <c r="F18" s="143"/>
      <c r="G18" s="142" t="s">
        <v>40</v>
      </c>
      <c r="H18" s="142"/>
      <c r="I18" s="142"/>
      <c r="J18" s="142"/>
      <c r="K18" s="142"/>
      <c r="L18" s="143"/>
      <c r="M18" s="2"/>
    </row>
    <row r="19" spans="1:13" ht="30.75" thickBot="1">
      <c r="A19" s="55"/>
      <c r="B19" s="45"/>
      <c r="C19" s="119" t="str">
        <f>'Summary Listing'!$B$2</f>
        <v>control</v>
      </c>
      <c r="D19" s="121" t="str">
        <f>'Summary Listing'!$C$2</f>
        <v>test 10 mg</v>
      </c>
      <c r="E19" s="121" t="str">
        <f>'Summary Listing'!$D$2</f>
        <v>test 20 mg</v>
      </c>
      <c r="F19" s="61" t="s">
        <v>23</v>
      </c>
      <c r="G19" s="55"/>
      <c r="H19" s="45"/>
      <c r="I19" s="119" t="str">
        <f>I3</f>
        <v>control</v>
      </c>
      <c r="J19" s="122" t="str">
        <f>J3</f>
        <v>test 10 mg</v>
      </c>
      <c r="K19" s="122" t="str">
        <f>K3</f>
        <v>test 20 mg</v>
      </c>
      <c r="L19" s="61" t="s">
        <v>23</v>
      </c>
      <c r="M19" s="2"/>
    </row>
    <row r="20" spans="1:13" ht="15.75" thickBot="1">
      <c r="A20" s="55"/>
      <c r="B20" s="75"/>
      <c r="C20" s="77"/>
      <c r="D20" s="77"/>
      <c r="E20" s="77"/>
      <c r="F20" s="77"/>
      <c r="G20" s="55"/>
      <c r="H20" s="75"/>
      <c r="I20" s="77"/>
      <c r="J20" s="77"/>
      <c r="K20" s="77"/>
      <c r="L20" s="77"/>
      <c r="M20" s="2"/>
    </row>
    <row r="21" spans="1:13" ht="15.75" thickBot="1">
      <c r="A21" s="56"/>
      <c r="B21" s="41" t="s">
        <v>21</v>
      </c>
      <c r="C21" s="76">
        <f>C6</f>
        <v>756</v>
      </c>
      <c r="D21" s="76">
        <f>D6</f>
        <v>757</v>
      </c>
      <c r="E21" s="76">
        <f>E6</f>
        <v>756</v>
      </c>
      <c r="F21" s="111">
        <f>SUM(C21:E21)</f>
        <v>2269</v>
      </c>
      <c r="G21" s="56"/>
      <c r="H21" s="41" t="s">
        <v>21</v>
      </c>
      <c r="I21" s="76">
        <f>I6</f>
        <v>489</v>
      </c>
      <c r="J21" s="76">
        <f>J6</f>
        <v>469</v>
      </c>
      <c r="K21" s="76">
        <f>K6</f>
        <v>478</v>
      </c>
      <c r="L21" s="114">
        <f>SUM(I21:K21)</f>
        <v>1436</v>
      </c>
      <c r="M21" s="2"/>
    </row>
    <row r="22" spans="1:13" ht="13.5" customHeight="1" thickBot="1">
      <c r="A22" s="56"/>
      <c r="B22" s="20" t="s">
        <v>32</v>
      </c>
      <c r="C22" s="44">
        <f>SUMIF(selection,"",AllAEs_treatment1)</f>
        <v>21</v>
      </c>
      <c r="D22" s="44">
        <f>SUMIF(selection,"",AllAEs_treatment2)</f>
        <v>9</v>
      </c>
      <c r="E22" s="44">
        <f>SUMIF(selection,"",AllAEs_treatment3)</f>
        <v>17</v>
      </c>
      <c r="F22" s="111">
        <f>SUM(C22:E22)</f>
        <v>47</v>
      </c>
      <c r="G22" s="56"/>
      <c r="H22" s="20" t="s">
        <v>32</v>
      </c>
      <c r="I22" s="44">
        <f>SUMIF(selection,"",NaiveAEs_treatment1)</f>
        <v>9</v>
      </c>
      <c r="J22" s="44">
        <f>SUMIF(selection,"",NaiveAEs_treatment2)</f>
        <v>4</v>
      </c>
      <c r="K22" s="44">
        <f>SUMIF(selection,"",NaiveAEs_treatment3)</f>
        <v>5</v>
      </c>
      <c r="L22" s="114">
        <f>SUM(I22:K22)</f>
        <v>18</v>
      </c>
      <c r="M22" s="2"/>
    </row>
    <row r="23" spans="1:13" ht="15" customHeight="1" thickBot="1">
      <c r="A23" s="56"/>
      <c r="B23" s="20" t="s">
        <v>33</v>
      </c>
      <c r="C23" s="112">
        <f>C21-C22</f>
        <v>735</v>
      </c>
      <c r="D23" s="112">
        <f>D21-D22</f>
        <v>748</v>
      </c>
      <c r="E23" s="112">
        <f>E21-E22</f>
        <v>739</v>
      </c>
      <c r="F23" s="111">
        <f>SUM(C23:E23)</f>
        <v>2222</v>
      </c>
      <c r="G23" s="56"/>
      <c r="H23" s="20" t="s">
        <v>33</v>
      </c>
      <c r="I23" s="112">
        <f>I21-I22</f>
        <v>480</v>
      </c>
      <c r="J23" s="112">
        <f>J21-J22</f>
        <v>465</v>
      </c>
      <c r="K23" s="112">
        <f>K21-K22</f>
        <v>473</v>
      </c>
      <c r="L23" s="114">
        <f>SUM(I23:K23)</f>
        <v>1418</v>
      </c>
      <c r="M23" s="2"/>
    </row>
    <row r="24" spans="1:13" ht="13.5" thickBot="1">
      <c r="A24" s="56"/>
      <c r="B24" s="19"/>
      <c r="C24" s="17"/>
      <c r="D24" s="17"/>
      <c r="E24" s="17"/>
      <c r="F24" s="63"/>
      <c r="G24" s="56"/>
      <c r="H24" s="19"/>
      <c r="I24" s="17"/>
      <c r="J24" s="17"/>
      <c r="K24" s="17"/>
      <c r="L24" s="60"/>
      <c r="M24" s="2"/>
    </row>
    <row r="25" spans="1:13" ht="15.75" hidden="1" thickBot="1">
      <c r="A25" s="56"/>
      <c r="B25" s="18" t="s">
        <v>24</v>
      </c>
      <c r="C25" s="5">
        <f>C$6/$F$6*$F22</f>
        <v>15.659762009695902</v>
      </c>
      <c r="D25" s="5">
        <f>D21/$F21*$F22</f>
        <v>15.680475980608197</v>
      </c>
      <c r="E25" s="5">
        <f>E21/$F21*$F22</f>
        <v>15.659762009695902</v>
      </c>
      <c r="F25" s="62">
        <f>SUM(C25:E25)</f>
        <v>47</v>
      </c>
      <c r="G25" s="56"/>
      <c r="H25" s="18" t="s">
        <v>24</v>
      </c>
      <c r="I25" s="5">
        <f>I$6/$L$6*$L22</f>
        <v>6.129526462395543</v>
      </c>
      <c r="J25" s="5">
        <f>J21/$L21*$L22</f>
        <v>5.87883008356546</v>
      </c>
      <c r="K25" s="5">
        <f>K21/$L21*$L22</f>
        <v>5.991643454038997</v>
      </c>
      <c r="L25" s="67">
        <f>SUM(I25:K25)</f>
        <v>18</v>
      </c>
      <c r="M25" s="2"/>
    </row>
    <row r="26" spans="1:13" ht="15.75" customHeight="1" hidden="1" thickBot="1">
      <c r="A26" s="56"/>
      <c r="B26" s="18" t="s">
        <v>25</v>
      </c>
      <c r="C26" s="5">
        <f>C$6/$F$6*$F23</f>
        <v>740.3402379903041</v>
      </c>
      <c r="D26" s="5">
        <f>D$6/$F$6*$F23</f>
        <v>741.3195240193918</v>
      </c>
      <c r="E26" s="5">
        <f>E$6/$F$6*$F23</f>
        <v>740.3402379903041</v>
      </c>
      <c r="F26" s="62">
        <f>SUM(C26:E26)</f>
        <v>2222</v>
      </c>
      <c r="G26" s="56"/>
      <c r="H26" s="18" t="s">
        <v>25</v>
      </c>
      <c r="I26" s="5">
        <f>I$6/$L$6*$L23</f>
        <v>482.8704735376045</v>
      </c>
      <c r="J26" s="5">
        <f>J$6/$L$6*$L23</f>
        <v>463.12116991643455</v>
      </c>
      <c r="K26" s="5">
        <f>K$6/$L$6*$L23</f>
        <v>472.008356545961</v>
      </c>
      <c r="L26" s="67">
        <f>SUM(I26:K26)</f>
        <v>1418</v>
      </c>
      <c r="M26" s="2"/>
    </row>
    <row r="27" spans="1:13" ht="13.5" hidden="1" thickBot="1">
      <c r="A27" s="56"/>
      <c r="B27" s="17"/>
      <c r="C27" s="17"/>
      <c r="D27" s="17"/>
      <c r="E27" s="17"/>
      <c r="F27" s="60"/>
      <c r="G27" s="56"/>
      <c r="H27" s="17"/>
      <c r="I27" s="17"/>
      <c r="J27" s="17"/>
      <c r="K27" s="17"/>
      <c r="L27" s="60"/>
      <c r="M27" s="2"/>
    </row>
    <row r="28" spans="1:13" ht="13.5" hidden="1" thickBot="1">
      <c r="A28" s="56"/>
      <c r="B28" s="138" t="s">
        <v>26</v>
      </c>
      <c r="C28" s="5">
        <f aca="true" t="shared" si="2" ref="C28:E29">(C22-C25)*(C22-C25)/C25</f>
        <v>1.8211095274263975</v>
      </c>
      <c r="D28" s="5">
        <f t="shared" si="2"/>
        <v>2.8461354988633474</v>
      </c>
      <c r="E28" s="5">
        <f t="shared" si="2"/>
        <v>0.11470403378686148</v>
      </c>
      <c r="F28" s="60"/>
      <c r="G28" s="56"/>
      <c r="H28" s="138" t="s">
        <v>26</v>
      </c>
      <c r="I28" s="5">
        <f aca="true" t="shared" si="3" ref="I28:K29">(I22-I25)*(I22-I25)/I25</f>
        <v>1.344250388775911</v>
      </c>
      <c r="J28" s="5">
        <f t="shared" si="3"/>
        <v>0.6004600290760024</v>
      </c>
      <c r="K28" s="5">
        <f t="shared" si="3"/>
        <v>0.16412137128678897</v>
      </c>
      <c r="L28" s="60"/>
      <c r="M28" s="2"/>
    </row>
    <row r="29" spans="1:13" ht="13.5" hidden="1" thickBot="1">
      <c r="A29" s="56"/>
      <c r="B29" s="138"/>
      <c r="C29" s="5">
        <f t="shared" si="2"/>
        <v>0.038520318536922074</v>
      </c>
      <c r="D29" s="5">
        <f t="shared" si="2"/>
        <v>0.06020178597955794</v>
      </c>
      <c r="E29" s="5">
        <f t="shared" si="2"/>
        <v>0.002426232937885928</v>
      </c>
      <c r="F29" s="60"/>
      <c r="G29" s="56"/>
      <c r="H29" s="138"/>
      <c r="I29" s="5">
        <f t="shared" si="3"/>
        <v>0.017063827220004817</v>
      </c>
      <c r="J29" s="5">
        <f t="shared" si="3"/>
        <v>0.0076222006511762275</v>
      </c>
      <c r="K29" s="5">
        <f t="shared" si="3"/>
        <v>0.0020833460389013334</v>
      </c>
      <c r="L29" s="60"/>
      <c r="M29" s="2"/>
    </row>
    <row r="30" spans="1:13" ht="13.5" hidden="1" thickBot="1">
      <c r="A30" s="56"/>
      <c r="B30" s="17"/>
      <c r="C30" s="17"/>
      <c r="D30" s="17"/>
      <c r="E30" s="17"/>
      <c r="F30" s="60"/>
      <c r="G30" s="56"/>
      <c r="H30" s="17"/>
      <c r="I30" s="17"/>
      <c r="J30" s="17"/>
      <c r="K30" s="17"/>
      <c r="L30" s="60"/>
      <c r="M30" s="2"/>
    </row>
    <row r="31" spans="1:13" ht="15.75" thickBot="1">
      <c r="A31" s="56"/>
      <c r="B31" s="21" t="s">
        <v>27</v>
      </c>
      <c r="C31" s="110">
        <f>SUM(C28:E29)</f>
        <v>4.883097397530973</v>
      </c>
      <c r="D31" s="23"/>
      <c r="E31" s="28" t="str">
        <f>"P &lt; "&amp;VLOOKUP(C31,chi_square_2DF,2,TRUE)</f>
        <v>P &lt; 0.1</v>
      </c>
      <c r="F31" s="60"/>
      <c r="G31" s="56"/>
      <c r="H31" s="21" t="s">
        <v>27</v>
      </c>
      <c r="I31" s="110">
        <f>SUM(I28:K29)</f>
        <v>2.1356011630487846</v>
      </c>
      <c r="J31" s="23"/>
      <c r="K31" s="27" t="str">
        <f>"P &lt; "&amp;VLOOKUP(I31,chi_square_2DF,2,TRUE)</f>
        <v>P &lt; 0.4</v>
      </c>
      <c r="L31" s="60"/>
      <c r="M31" s="2"/>
    </row>
    <row r="32" spans="1:13" ht="13.5" thickBot="1">
      <c r="A32" s="54"/>
      <c r="B32" s="139"/>
      <c r="C32" s="140"/>
      <c r="D32" s="140"/>
      <c r="E32" s="140"/>
      <c r="F32" s="141"/>
      <c r="G32" s="54"/>
      <c r="H32" s="139"/>
      <c r="I32" s="140"/>
      <c r="J32" s="140"/>
      <c r="K32" s="140"/>
      <c r="L32" s="141"/>
      <c r="M32" s="2"/>
    </row>
    <row r="33" spans="1:13" ht="15.75" thickBot="1">
      <c r="A33" s="142" t="s">
        <v>117</v>
      </c>
      <c r="B33" s="142"/>
      <c r="C33" s="142"/>
      <c r="D33" s="142"/>
      <c r="E33" s="142"/>
      <c r="F33" s="143"/>
      <c r="G33" s="142" t="str">
        <f>A33</f>
        <v>selected events, test drug pooled</v>
      </c>
      <c r="H33" s="142"/>
      <c r="I33" s="142"/>
      <c r="J33" s="142"/>
      <c r="K33" s="142"/>
      <c r="L33" s="143"/>
      <c r="M33" s="2"/>
    </row>
    <row r="34" spans="1:13" ht="15.75" thickBot="1">
      <c r="A34" s="55"/>
      <c r="B34" s="45"/>
      <c r="C34" s="119" t="str">
        <f>C19</f>
        <v>control</v>
      </c>
      <c r="D34" s="46" t="s">
        <v>118</v>
      </c>
      <c r="E34" s="42" t="s">
        <v>23</v>
      </c>
      <c r="F34" s="57"/>
      <c r="G34" s="55"/>
      <c r="H34" s="45"/>
      <c r="I34" s="119" t="str">
        <f>C34</f>
        <v>control</v>
      </c>
      <c r="J34" s="123" t="str">
        <f>D34</f>
        <v>pool</v>
      </c>
      <c r="K34" s="42" t="s">
        <v>23</v>
      </c>
      <c r="L34" s="57"/>
      <c r="M34" s="2"/>
    </row>
    <row r="35" spans="1:13" ht="15.75" thickBot="1">
      <c r="A35" s="56"/>
      <c r="B35" s="41" t="s">
        <v>21</v>
      </c>
      <c r="C35" s="43">
        <f>C21</f>
        <v>756</v>
      </c>
      <c r="D35" s="43">
        <f>D21+E21</f>
        <v>1513</v>
      </c>
      <c r="E35" s="113">
        <f>SUM(B35:D35)</f>
        <v>2269</v>
      </c>
      <c r="F35" s="58"/>
      <c r="G35" s="56"/>
      <c r="H35" s="41" t="s">
        <v>21</v>
      </c>
      <c r="I35" s="43">
        <f>I21</f>
        <v>489</v>
      </c>
      <c r="J35" s="43">
        <f>J21+K21</f>
        <v>947</v>
      </c>
      <c r="K35" s="113">
        <f>SUM(H35:J35)</f>
        <v>1436</v>
      </c>
      <c r="L35" s="58"/>
      <c r="M35" s="2"/>
    </row>
    <row r="36" spans="1:13" ht="15.75" thickBot="1">
      <c r="A36" s="56"/>
      <c r="B36" s="20" t="s">
        <v>32</v>
      </c>
      <c r="C36" s="44">
        <f>SUMIF(selection,"yes",AllAEs_treatment1)</f>
        <v>11</v>
      </c>
      <c r="D36" s="44">
        <f>SUMIF(selection,"yes",AllAEs_treatment2)+SUMIF(selection,"yes",AllAEs_treatment3)</f>
        <v>23</v>
      </c>
      <c r="E36" s="113">
        <f>SUM(B36:D36)</f>
        <v>34</v>
      </c>
      <c r="F36" s="59"/>
      <c r="G36" s="56"/>
      <c r="H36" s="20" t="s">
        <v>32</v>
      </c>
      <c r="I36" s="44">
        <f>SUMIF(selection,"yes",NaiveAEs_treatment1)</f>
        <v>6</v>
      </c>
      <c r="J36" s="44">
        <f>SUMIF(selection,"yes",NaiveAEs_treatment2)+SUMIF(selection,"yes",NaiveAEs_treatment3)</f>
        <v>10</v>
      </c>
      <c r="K36" s="113">
        <f>SUM(H36:J36)</f>
        <v>16</v>
      </c>
      <c r="L36" s="59"/>
      <c r="M36" s="2"/>
    </row>
    <row r="37" spans="1:13" ht="15.75" customHeight="1" thickBot="1">
      <c r="A37" s="56"/>
      <c r="B37" s="20" t="s">
        <v>33</v>
      </c>
      <c r="C37" s="112">
        <f>C35-C36</f>
        <v>745</v>
      </c>
      <c r="D37" s="112">
        <f>D35-D36</f>
        <v>1490</v>
      </c>
      <c r="E37" s="113">
        <f>SUM(B37:D37)</f>
        <v>2235</v>
      </c>
      <c r="F37" s="59"/>
      <c r="G37" s="56"/>
      <c r="H37" s="20" t="s">
        <v>33</v>
      </c>
      <c r="I37" s="112">
        <f>I35-I36</f>
        <v>483</v>
      </c>
      <c r="J37" s="112">
        <f>J35-J36</f>
        <v>937</v>
      </c>
      <c r="K37" s="113">
        <f>SUM(H37:J37)</f>
        <v>1420</v>
      </c>
      <c r="L37" s="59"/>
      <c r="M37" s="2"/>
    </row>
    <row r="38" spans="1:13" ht="15.75" customHeight="1" thickBot="1">
      <c r="A38" s="56"/>
      <c r="B38" s="19"/>
      <c r="C38" s="17"/>
      <c r="D38" s="17"/>
      <c r="E38" s="53"/>
      <c r="F38" s="59"/>
      <c r="G38" s="56"/>
      <c r="H38" s="19"/>
      <c r="I38" s="17"/>
      <c r="J38" s="17"/>
      <c r="K38" s="53"/>
      <c r="L38" s="59"/>
      <c r="M38" s="2"/>
    </row>
    <row r="39" spans="1:13" ht="15.75" hidden="1" thickBot="1">
      <c r="A39" s="56"/>
      <c r="B39" s="18" t="s">
        <v>24</v>
      </c>
      <c r="C39" s="5">
        <f>C35/E35*E36</f>
        <v>11.328338475099162</v>
      </c>
      <c r="D39" s="5">
        <f>D35/E35*E36</f>
        <v>22.671661524900838</v>
      </c>
      <c r="E39" s="52">
        <f>SUM(B39:D39)</f>
        <v>34</v>
      </c>
      <c r="F39" s="59"/>
      <c r="G39" s="56"/>
      <c r="H39" s="18" t="s">
        <v>24</v>
      </c>
      <c r="I39" s="5">
        <f>I35/K35*K36</f>
        <v>5.4484679665738165</v>
      </c>
      <c r="J39" s="5">
        <f>J35/K35*K36</f>
        <v>10.551532033426184</v>
      </c>
      <c r="K39" s="52">
        <f>SUM(H39:J39)</f>
        <v>16</v>
      </c>
      <c r="L39" s="59"/>
      <c r="M39" s="2"/>
    </row>
    <row r="40" spans="1:13" ht="13.5" customHeight="1" hidden="1" thickBot="1">
      <c r="A40" s="56"/>
      <c r="B40" s="18" t="s">
        <v>25</v>
      </c>
      <c r="C40" s="5">
        <f>C35/E35*E37</f>
        <v>744.6716615249009</v>
      </c>
      <c r="D40" s="5">
        <f>D35/E35*E37</f>
        <v>1490.3283384750991</v>
      </c>
      <c r="E40" s="52">
        <f>SUM(B40:D40)</f>
        <v>2235</v>
      </c>
      <c r="F40" s="59"/>
      <c r="G40" s="56"/>
      <c r="H40" s="18" t="s">
        <v>25</v>
      </c>
      <c r="I40" s="5">
        <f>I35/K35*K37</f>
        <v>483.5515320334262</v>
      </c>
      <c r="J40" s="5">
        <f>J35/K35*K37</f>
        <v>936.4484679665738</v>
      </c>
      <c r="K40" s="52">
        <f>SUM(H40:J40)</f>
        <v>1420</v>
      </c>
      <c r="L40" s="59"/>
      <c r="M40" s="2"/>
    </row>
    <row r="41" spans="1:13" ht="13.5" hidden="1" thickBot="1">
      <c r="A41" s="56"/>
      <c r="B41" s="17"/>
      <c r="C41" s="17"/>
      <c r="D41" s="17"/>
      <c r="E41" s="47"/>
      <c r="F41" s="60"/>
      <c r="G41" s="56"/>
      <c r="H41" s="17"/>
      <c r="I41" s="17"/>
      <c r="J41" s="17"/>
      <c r="K41" s="47"/>
      <c r="L41" s="60"/>
      <c r="M41" s="2"/>
    </row>
    <row r="42" spans="1:13" ht="13.5" hidden="1" thickBot="1">
      <c r="A42" s="56"/>
      <c r="B42" s="138" t="s">
        <v>26</v>
      </c>
      <c r="C42" s="5">
        <f>(C36-C39)*(C36-C39)/C39</f>
        <v>0.009516501865424666</v>
      </c>
      <c r="D42" s="5">
        <f>(D36-D39)*(D36-D39)/D39</f>
        <v>0.004755106021322569</v>
      </c>
      <c r="E42" s="48"/>
      <c r="F42" s="60"/>
      <c r="G42" s="56"/>
      <c r="H42" s="138" t="s">
        <v>26</v>
      </c>
      <c r="I42" s="5">
        <f>(I36-I39)*(I36-I39)/I39</f>
        <v>0.05582992976400014</v>
      </c>
      <c r="J42" s="5">
        <f>(J36-J39)*(J36-J39)/J39</f>
        <v>0.028828759930935748</v>
      </c>
      <c r="K42" s="48"/>
      <c r="L42" s="60"/>
      <c r="M42" s="2"/>
    </row>
    <row r="43" spans="1:13" ht="13.5" hidden="1" thickBot="1">
      <c r="A43" s="56"/>
      <c r="B43" s="138"/>
      <c r="C43" s="5">
        <f>(C37-C40)*(C37-C40)/C40</f>
        <v>0.00014477005074917386</v>
      </c>
      <c r="D43" s="5">
        <f>(D37-D40)*(D37-D40)/D40</f>
        <v>7.233718332212522E-05</v>
      </c>
      <c r="E43" s="48"/>
      <c r="F43" s="60"/>
      <c r="G43" s="56"/>
      <c r="H43" s="138"/>
      <c r="I43" s="5">
        <f>(I37-I40)*(I37-I40)/I40</f>
        <v>0.0006290696311437304</v>
      </c>
      <c r="J43" s="5">
        <f>(J37-J40)*(J37-J40)/J40</f>
        <v>0.0003248310978133271</v>
      </c>
      <c r="K43" s="48"/>
      <c r="L43" s="60"/>
      <c r="M43" s="2"/>
    </row>
    <row r="44" spans="1:13" ht="13.5" hidden="1" thickBot="1">
      <c r="A44" s="56"/>
      <c r="B44" s="17"/>
      <c r="C44" s="17"/>
      <c r="D44" s="17"/>
      <c r="E44" s="48"/>
      <c r="F44" s="60"/>
      <c r="G44" s="56"/>
      <c r="H44" s="17"/>
      <c r="I44" s="17"/>
      <c r="J44" s="17"/>
      <c r="K44" s="48"/>
      <c r="L44" s="60"/>
      <c r="M44" s="2"/>
    </row>
    <row r="45" spans="1:13" ht="15.75" thickBot="1">
      <c r="A45" s="56"/>
      <c r="B45" s="21" t="s">
        <v>41</v>
      </c>
      <c r="C45" s="110">
        <f>SUM(C42:D43)</f>
        <v>0.014488715120818535</v>
      </c>
      <c r="D45" s="23"/>
      <c r="E45" s="28" t="str">
        <f>"P &lt; "&amp;VLOOKUP(C45,chi_square_1DF,3,TRUE)</f>
        <v>P &lt; 0.95</v>
      </c>
      <c r="F45" s="60"/>
      <c r="G45" s="56"/>
      <c r="H45" s="21" t="s">
        <v>41</v>
      </c>
      <c r="I45" s="110">
        <f>SUM(I42:J43)</f>
        <v>0.08561259042389295</v>
      </c>
      <c r="J45" s="23"/>
      <c r="K45" s="28" t="str">
        <f>"P &lt; "&amp;VLOOKUP(I45,chi_square_1DF,3,TRUE)</f>
        <v>P &lt; 0.8</v>
      </c>
      <c r="L45" s="60"/>
      <c r="M45" s="2"/>
    </row>
    <row r="46" spans="1:13" ht="13.5" thickBot="1">
      <c r="A46" s="54"/>
      <c r="B46" s="139"/>
      <c r="C46" s="140"/>
      <c r="D46" s="140"/>
      <c r="E46" s="140"/>
      <c r="F46" s="141"/>
      <c r="G46" s="54"/>
      <c r="H46" s="139"/>
      <c r="I46" s="140"/>
      <c r="J46" s="140"/>
      <c r="K46" s="140"/>
      <c r="L46" s="141"/>
      <c r="M46" s="2"/>
    </row>
    <row r="47" spans="1:13" ht="15.75" thickBot="1">
      <c r="A47" s="142" t="s">
        <v>119</v>
      </c>
      <c r="B47" s="142"/>
      <c r="C47" s="142"/>
      <c r="D47" s="142"/>
      <c r="E47" s="142"/>
      <c r="F47" s="143"/>
      <c r="G47" s="142" t="str">
        <f>A47</f>
        <v>non-selected events, test drug pooled</v>
      </c>
      <c r="H47" s="142"/>
      <c r="I47" s="142"/>
      <c r="J47" s="142"/>
      <c r="K47" s="142"/>
      <c r="L47" s="143"/>
      <c r="M47" s="2"/>
    </row>
    <row r="48" spans="1:13" ht="15.75" thickBot="1">
      <c r="A48" s="55"/>
      <c r="B48" s="45"/>
      <c r="C48" s="119" t="str">
        <f>C34</f>
        <v>control</v>
      </c>
      <c r="D48" s="123" t="str">
        <f>D34</f>
        <v>pool</v>
      </c>
      <c r="E48" s="42" t="s">
        <v>23</v>
      </c>
      <c r="F48" s="57"/>
      <c r="G48" s="55"/>
      <c r="H48" s="45"/>
      <c r="I48" s="119" t="str">
        <f>I34</f>
        <v>control</v>
      </c>
      <c r="J48" s="123" t="str">
        <f>J34</f>
        <v>pool</v>
      </c>
      <c r="K48" s="42" t="s">
        <v>23</v>
      </c>
      <c r="L48" s="57"/>
      <c r="M48" s="2"/>
    </row>
    <row r="49" spans="1:13" ht="15.75" thickBot="1">
      <c r="A49" s="56"/>
      <c r="B49" s="41" t="s">
        <v>21</v>
      </c>
      <c r="C49" s="43">
        <f>C35</f>
        <v>756</v>
      </c>
      <c r="D49" s="43">
        <f>D35</f>
        <v>1513</v>
      </c>
      <c r="E49" s="113">
        <f>SUM(B49:D49)</f>
        <v>2269</v>
      </c>
      <c r="F49" s="58"/>
      <c r="G49" s="56"/>
      <c r="H49" s="41" t="s">
        <v>21</v>
      </c>
      <c r="I49" s="43">
        <f>I35</f>
        <v>489</v>
      </c>
      <c r="J49" s="43">
        <f>J35</f>
        <v>947</v>
      </c>
      <c r="K49" s="113">
        <f>SUM(H49:J49)</f>
        <v>1436</v>
      </c>
      <c r="L49" s="58"/>
      <c r="M49" s="2"/>
    </row>
    <row r="50" spans="1:13" ht="15.75" thickBot="1">
      <c r="A50" s="56"/>
      <c r="B50" s="20" t="s">
        <v>32</v>
      </c>
      <c r="C50" s="44">
        <f>SUMIF(selection,"",AllAEs_treatment1)</f>
        <v>21</v>
      </c>
      <c r="D50" s="44">
        <f>SUMIF(selection,"",AllAEs_treatment2)+SUMIF(selection,"",AllAEs_treatment3)</f>
        <v>26</v>
      </c>
      <c r="E50" s="113">
        <f>SUM(B50:D50)</f>
        <v>47</v>
      </c>
      <c r="F50" s="59"/>
      <c r="G50" s="56"/>
      <c r="H50" s="20" t="s">
        <v>32</v>
      </c>
      <c r="I50" s="44">
        <f>SUMIF(selection,"",NaiveAEs_treatment1)</f>
        <v>9</v>
      </c>
      <c r="J50" s="44">
        <f>SUMIF(selection,"",NaiveAEs_treatment2)+SUMIF(selection,"",NaiveAEs_treatment3)</f>
        <v>9</v>
      </c>
      <c r="K50" s="113">
        <f>SUM(H50:J50)</f>
        <v>18</v>
      </c>
      <c r="L50" s="59"/>
      <c r="M50" s="2"/>
    </row>
    <row r="51" spans="1:13" ht="15.75" customHeight="1" thickBot="1">
      <c r="A51" s="56"/>
      <c r="B51" s="20" t="s">
        <v>33</v>
      </c>
      <c r="C51" s="112">
        <f>C49-C50</f>
        <v>735</v>
      </c>
      <c r="D51" s="112">
        <f>D49-D50</f>
        <v>1487</v>
      </c>
      <c r="E51" s="113">
        <f>SUM(B51:D51)</f>
        <v>2222</v>
      </c>
      <c r="F51" s="59"/>
      <c r="G51" s="56"/>
      <c r="H51" s="20" t="s">
        <v>33</v>
      </c>
      <c r="I51" s="112">
        <f>I49-I50</f>
        <v>480</v>
      </c>
      <c r="J51" s="112">
        <f>J49-J50</f>
        <v>938</v>
      </c>
      <c r="K51" s="113">
        <f>SUM(H51:J51)</f>
        <v>1418</v>
      </c>
      <c r="L51" s="59"/>
      <c r="M51" s="2"/>
    </row>
    <row r="52" spans="1:13" ht="15.75" thickBot="1">
      <c r="A52" s="56"/>
      <c r="B52" s="19"/>
      <c r="C52" s="17"/>
      <c r="D52" s="17"/>
      <c r="E52" s="53"/>
      <c r="F52" s="59"/>
      <c r="G52" s="56"/>
      <c r="H52" s="19"/>
      <c r="I52" s="17"/>
      <c r="J52" s="17"/>
      <c r="K52" s="53"/>
      <c r="L52" s="59"/>
      <c r="M52" s="2"/>
    </row>
    <row r="53" spans="1:13" ht="15.75" hidden="1" thickBot="1">
      <c r="A53" s="56"/>
      <c r="B53" s="18" t="s">
        <v>24</v>
      </c>
      <c r="C53" s="5">
        <f>C49/E49*E50</f>
        <v>15.659762009695902</v>
      </c>
      <c r="D53" s="5">
        <f>D49/E49*E50</f>
        <v>31.3402379903041</v>
      </c>
      <c r="E53" s="52">
        <f>SUM(B53:D53)</f>
        <v>47</v>
      </c>
      <c r="F53" s="59"/>
      <c r="G53" s="56"/>
      <c r="H53" s="18" t="s">
        <v>24</v>
      </c>
      <c r="I53" s="5">
        <f>I49/K49*K50</f>
        <v>6.129526462395543</v>
      </c>
      <c r="J53" s="5">
        <f>J49/K49*K50</f>
        <v>11.870473537604457</v>
      </c>
      <c r="K53" s="52">
        <f>SUM(H53:J53)</f>
        <v>18</v>
      </c>
      <c r="L53" s="59"/>
      <c r="M53" s="2"/>
    </row>
    <row r="54" spans="1:13" ht="14.25" customHeight="1" hidden="1" thickBot="1">
      <c r="A54" s="56"/>
      <c r="B54" s="18" t="s">
        <v>25</v>
      </c>
      <c r="C54" s="5">
        <f>C49/E49*E51</f>
        <v>740.3402379903041</v>
      </c>
      <c r="D54" s="5">
        <f>D49/E49*E51</f>
        <v>1481.659762009696</v>
      </c>
      <c r="E54" s="52">
        <f>SUM(B54:D54)</f>
        <v>2222</v>
      </c>
      <c r="F54" s="59"/>
      <c r="G54" s="56"/>
      <c r="H54" s="18" t="s">
        <v>25</v>
      </c>
      <c r="I54" s="5">
        <f>I49/K49*K51</f>
        <v>482.8704735376045</v>
      </c>
      <c r="J54" s="5">
        <f>J49/K49*K51</f>
        <v>935.1295264623956</v>
      </c>
      <c r="K54" s="52">
        <f>SUM(H54:J54)</f>
        <v>1418</v>
      </c>
      <c r="L54" s="59"/>
      <c r="M54" s="2"/>
    </row>
    <row r="55" spans="1:13" ht="13.5" hidden="1" thickBot="1">
      <c r="A55" s="56"/>
      <c r="B55" s="17"/>
      <c r="C55" s="17"/>
      <c r="D55" s="17"/>
      <c r="E55" s="47"/>
      <c r="F55" s="60"/>
      <c r="G55" s="56"/>
      <c r="H55" s="17"/>
      <c r="I55" s="17"/>
      <c r="J55" s="17"/>
      <c r="K55" s="47"/>
      <c r="L55" s="60"/>
      <c r="M55" s="2"/>
    </row>
    <row r="56" spans="1:13" ht="13.5" hidden="1" thickBot="1">
      <c r="A56" s="56"/>
      <c r="B56" s="138" t="s">
        <v>26</v>
      </c>
      <c r="C56" s="5">
        <f>(C50-C53)*(C50-C53)/C53</f>
        <v>1.8211095274263975</v>
      </c>
      <c r="D56" s="5">
        <f>(D50-D53)*(D50-D53)/D53</f>
        <v>0.9099529429837128</v>
      </c>
      <c r="E56" s="48"/>
      <c r="F56" s="60"/>
      <c r="G56" s="56"/>
      <c r="H56" s="138" t="s">
        <v>26</v>
      </c>
      <c r="I56" s="5">
        <f>(I50-I53)*(I50-I53)/I53</f>
        <v>1.344250388775911</v>
      </c>
      <c r="J56" s="5">
        <f>(J50-J53)*(J50-J53)/J53</f>
        <v>0.6941271806878785</v>
      </c>
      <c r="K56" s="48"/>
      <c r="L56" s="60"/>
      <c r="M56" s="2"/>
    </row>
    <row r="57" spans="1:13" ht="13.5" hidden="1" thickBot="1">
      <c r="A57" s="56"/>
      <c r="B57" s="138"/>
      <c r="C57" s="5">
        <f>(C51-C54)*(C51-C54)/C54</f>
        <v>0.038520318536922074</v>
      </c>
      <c r="D57" s="5">
        <f>(D51-D54)*(D51-D54)/D54</f>
        <v>0.019247429487054258</v>
      </c>
      <c r="E57" s="48"/>
      <c r="F57" s="60"/>
      <c r="G57" s="56"/>
      <c r="H57" s="138"/>
      <c r="I57" s="5">
        <f>(I51-I54)*(I51-I54)/I54</f>
        <v>0.017063827220004817</v>
      </c>
      <c r="J57" s="5">
        <f>(J51-J54)*(J51-J54)/J54</f>
        <v>0.008811205396601927</v>
      </c>
      <c r="K57" s="48"/>
      <c r="L57" s="60"/>
      <c r="M57" s="2"/>
    </row>
    <row r="58" spans="1:13" ht="13.5" hidden="1" thickBot="1">
      <c r="A58" s="56"/>
      <c r="B58" s="17"/>
      <c r="C58" s="17"/>
      <c r="D58" s="17"/>
      <c r="E58" s="50"/>
      <c r="F58" s="60"/>
      <c r="G58" s="56"/>
      <c r="H58" s="17"/>
      <c r="I58" s="17"/>
      <c r="J58" s="17"/>
      <c r="K58" s="49"/>
      <c r="L58" s="60"/>
      <c r="M58" s="2"/>
    </row>
    <row r="59" spans="1:13" ht="15.75" thickBot="1">
      <c r="A59" s="56"/>
      <c r="B59" s="21" t="s">
        <v>41</v>
      </c>
      <c r="C59" s="110">
        <f>SUM(C56:D57)</f>
        <v>2.788830218434087</v>
      </c>
      <c r="D59" s="23"/>
      <c r="E59" s="28" t="str">
        <f>"P &lt; "&amp;VLOOKUP(C59,chi_square_1DF,3,TRUE)</f>
        <v>P &lt; 0.1</v>
      </c>
      <c r="F59" s="60"/>
      <c r="G59" s="56"/>
      <c r="H59" s="21" t="s">
        <v>41</v>
      </c>
      <c r="I59" s="110">
        <f>SUM(I56:J57)</f>
        <v>2.0642526020803964</v>
      </c>
      <c r="J59" s="23"/>
      <c r="K59" s="28" t="str">
        <f>"P &lt; "&amp;VLOOKUP(I59,chi_square_1DF,3,TRUE)</f>
        <v>P &lt; 0.2</v>
      </c>
      <c r="L59" s="60"/>
      <c r="M59" s="2"/>
    </row>
    <row r="60" spans="1:13" ht="13.5" thickBot="1">
      <c r="A60" s="54"/>
      <c r="B60" s="139"/>
      <c r="C60" s="140"/>
      <c r="D60" s="140"/>
      <c r="E60" s="140"/>
      <c r="F60" s="141"/>
      <c r="G60" s="54"/>
      <c r="H60" s="139"/>
      <c r="I60" s="140"/>
      <c r="J60" s="140"/>
      <c r="K60" s="140"/>
      <c r="L60" s="141"/>
      <c r="M60" s="2"/>
    </row>
    <row r="61" spans="1:13" ht="13.5" thickBot="1">
      <c r="A61" s="3"/>
      <c r="B61" s="3"/>
      <c r="C61" s="3"/>
      <c r="D61" s="3"/>
      <c r="E61" s="3"/>
      <c r="F61" s="3"/>
      <c r="G61" s="3"/>
      <c r="H61" s="3"/>
      <c r="I61" s="3"/>
      <c r="J61" s="3"/>
      <c r="K61" s="3"/>
      <c r="L61" s="3"/>
      <c r="M61" s="4"/>
    </row>
    <row r="62" ht="13.5" thickTop="1"/>
  </sheetData>
  <mergeCells count="26">
    <mergeCell ref="B56:B57"/>
    <mergeCell ref="H56:H57"/>
    <mergeCell ref="B60:F60"/>
    <mergeCell ref="H60:L60"/>
    <mergeCell ref="B46:F46"/>
    <mergeCell ref="H46:L46"/>
    <mergeCell ref="A47:F47"/>
    <mergeCell ref="G47:L47"/>
    <mergeCell ref="A33:F33"/>
    <mergeCell ref="G33:L33"/>
    <mergeCell ref="B42:B43"/>
    <mergeCell ref="H42:H43"/>
    <mergeCell ref="B28:B29"/>
    <mergeCell ref="H28:H29"/>
    <mergeCell ref="B32:F32"/>
    <mergeCell ref="H32:L32"/>
    <mergeCell ref="B17:F17"/>
    <mergeCell ref="H17:L17"/>
    <mergeCell ref="A18:F18"/>
    <mergeCell ref="G18:L18"/>
    <mergeCell ref="G1:L1"/>
    <mergeCell ref="A2:F2"/>
    <mergeCell ref="G2:L2"/>
    <mergeCell ref="B13:B14"/>
    <mergeCell ref="H13:H14"/>
    <mergeCell ref="A1:F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D37"/>
  <sheetViews>
    <sheetView workbookViewId="0" topLeftCell="A1">
      <selection activeCell="A4" sqref="A4"/>
    </sheetView>
  </sheetViews>
  <sheetFormatPr defaultColWidth="9.140625" defaultRowHeight="12.75"/>
  <cols>
    <col min="1" max="1" width="9.00390625" style="0" customWidth="1"/>
    <col min="2" max="2" width="8.7109375" style="0" customWidth="1"/>
    <col min="3" max="3" width="8.28125" style="0" customWidth="1"/>
    <col min="4" max="4" width="2.8515625" style="0" customWidth="1"/>
    <col min="5" max="5" width="2.7109375" style="0" customWidth="1"/>
  </cols>
  <sheetData>
    <row r="1" spans="1:4" ht="14.25" customHeight="1">
      <c r="A1" s="144" t="s">
        <v>31</v>
      </c>
      <c r="B1" s="145"/>
      <c r="C1" s="29"/>
      <c r="D1" s="12"/>
    </row>
    <row r="2" spans="1:4" ht="15.75" thickBot="1">
      <c r="A2" s="13" t="s">
        <v>34</v>
      </c>
      <c r="B2" s="33" t="s">
        <v>35</v>
      </c>
      <c r="C2" s="32" t="s">
        <v>30</v>
      </c>
      <c r="D2" s="2"/>
    </row>
    <row r="3" spans="1:4" ht="12.75">
      <c r="A3" s="34">
        <v>3.93E-07</v>
      </c>
      <c r="B3" s="30">
        <v>0.001</v>
      </c>
      <c r="C3" s="37">
        <v>0.9995</v>
      </c>
      <c r="D3" s="2"/>
    </row>
    <row r="4" spans="1:4" ht="12.75">
      <c r="A4" s="35">
        <v>1.57E-06</v>
      </c>
      <c r="B4" s="31">
        <v>0.002</v>
      </c>
      <c r="C4" s="38">
        <v>0.999</v>
      </c>
      <c r="D4" s="2"/>
    </row>
    <row r="5" spans="1:4" ht="12.75">
      <c r="A5" s="35">
        <v>3.93E-05</v>
      </c>
      <c r="B5" s="31">
        <v>0.01</v>
      </c>
      <c r="C5" s="38">
        <v>0.995</v>
      </c>
      <c r="D5" s="2"/>
    </row>
    <row r="6" spans="1:4" ht="12.75">
      <c r="A6" s="35">
        <v>0.000157</v>
      </c>
      <c r="B6" s="31">
        <v>0.0201</v>
      </c>
      <c r="C6" s="38">
        <v>0.99</v>
      </c>
      <c r="D6" s="2"/>
    </row>
    <row r="7" spans="1:4" ht="12.75">
      <c r="A7" s="35">
        <v>0.000982</v>
      </c>
      <c r="B7" s="31">
        <v>0.0506</v>
      </c>
      <c r="C7" s="38">
        <v>0.975</v>
      </c>
      <c r="D7" s="2"/>
    </row>
    <row r="8" spans="1:4" ht="12.75">
      <c r="A8" s="35">
        <v>0.00393</v>
      </c>
      <c r="B8" s="31">
        <v>0.103</v>
      </c>
      <c r="C8" s="38">
        <v>0.95</v>
      </c>
      <c r="D8" s="2"/>
    </row>
    <row r="9" spans="1:4" ht="12.75">
      <c r="A9" s="36">
        <v>0.0158</v>
      </c>
      <c r="B9" s="31">
        <v>0.211</v>
      </c>
      <c r="C9" s="38">
        <v>0.9</v>
      </c>
      <c r="D9" s="2"/>
    </row>
    <row r="10" spans="1:4" ht="12.75">
      <c r="A10" s="36">
        <v>0.0642</v>
      </c>
      <c r="B10" s="31">
        <v>0.446</v>
      </c>
      <c r="C10" s="38">
        <v>0.8</v>
      </c>
      <c r="D10" s="2"/>
    </row>
    <row r="11" spans="1:4" ht="12.75">
      <c r="A11" s="36">
        <v>0.148</v>
      </c>
      <c r="B11" s="31">
        <v>0.713</v>
      </c>
      <c r="C11" s="38">
        <v>0.7</v>
      </c>
      <c r="D11" s="2"/>
    </row>
    <row r="12" spans="1:4" ht="12.75">
      <c r="A12" s="36">
        <v>0.275</v>
      </c>
      <c r="B12" s="31">
        <v>1.022</v>
      </c>
      <c r="C12" s="38">
        <v>0.6</v>
      </c>
      <c r="D12" s="2"/>
    </row>
    <row r="13" spans="1:4" ht="12.75">
      <c r="A13" s="36">
        <v>0.455</v>
      </c>
      <c r="B13" s="31">
        <v>1.386</v>
      </c>
      <c r="C13" s="38">
        <v>0.5</v>
      </c>
      <c r="D13" s="2"/>
    </row>
    <row r="14" spans="1:4" ht="12.75">
      <c r="A14" s="36">
        <v>0.708</v>
      </c>
      <c r="B14" s="31">
        <v>1.833</v>
      </c>
      <c r="C14" s="38">
        <v>0.4</v>
      </c>
      <c r="D14" s="2"/>
    </row>
    <row r="15" spans="1:4" ht="12.75">
      <c r="A15" s="36">
        <v>1.074</v>
      </c>
      <c r="B15" s="31">
        <v>2.408</v>
      </c>
      <c r="C15" s="38">
        <v>0.3</v>
      </c>
      <c r="D15" s="2"/>
    </row>
    <row r="16" spans="1:4" ht="12.75">
      <c r="A16" s="36">
        <v>1.642</v>
      </c>
      <c r="B16" s="31">
        <v>3.219</v>
      </c>
      <c r="C16" s="38">
        <v>0.2</v>
      </c>
      <c r="D16" s="2"/>
    </row>
    <row r="17" spans="1:4" ht="12.75">
      <c r="A17" s="36">
        <v>2.706</v>
      </c>
      <c r="B17" s="31">
        <v>4.605</v>
      </c>
      <c r="C17" s="38">
        <v>0.1</v>
      </c>
      <c r="D17" s="2"/>
    </row>
    <row r="18" spans="1:4" ht="12.75">
      <c r="A18" s="36">
        <v>3.841</v>
      </c>
      <c r="B18" s="31">
        <v>5.991</v>
      </c>
      <c r="C18" s="38">
        <v>0.05</v>
      </c>
      <c r="D18" s="2"/>
    </row>
    <row r="19" spans="1:4" ht="12.75">
      <c r="A19" s="36">
        <v>5.024</v>
      </c>
      <c r="B19" s="31">
        <v>7.378</v>
      </c>
      <c r="C19" s="38">
        <v>0.025</v>
      </c>
      <c r="D19" s="2"/>
    </row>
    <row r="20" spans="1:4" ht="12.75">
      <c r="A20" s="36">
        <v>6.635</v>
      </c>
      <c r="B20" s="31">
        <v>9.21</v>
      </c>
      <c r="C20" s="38">
        <v>0.01</v>
      </c>
      <c r="D20" s="2"/>
    </row>
    <row r="21" spans="1:4" ht="12.75">
      <c r="A21" s="36">
        <v>7.879</v>
      </c>
      <c r="B21" s="31">
        <v>10.597</v>
      </c>
      <c r="C21" s="38">
        <v>0.005</v>
      </c>
      <c r="D21" s="2"/>
    </row>
    <row r="22" spans="1:4" ht="12.75">
      <c r="A22" s="36">
        <v>10.828</v>
      </c>
      <c r="B22" s="31">
        <v>13.816</v>
      </c>
      <c r="C22" s="38">
        <v>0.001</v>
      </c>
      <c r="D22" s="2"/>
    </row>
    <row r="23" spans="1:4" ht="12.75">
      <c r="A23" s="36">
        <v>12.116</v>
      </c>
      <c r="B23" s="31">
        <v>15.202</v>
      </c>
      <c r="C23" s="38">
        <v>0.0005</v>
      </c>
      <c r="D23" s="2"/>
    </row>
    <row r="24" spans="1:4" ht="13.5" thickBot="1">
      <c r="A24" s="25"/>
      <c r="B24" s="25"/>
      <c r="C24" s="25"/>
      <c r="D24" s="4"/>
    </row>
    <row r="25" spans="1:3" ht="13.5" thickTop="1">
      <c r="A25" s="24"/>
      <c r="B25" s="24"/>
      <c r="C25" s="24"/>
    </row>
    <row r="26" spans="2:3" ht="12.75">
      <c r="B26" s="24"/>
      <c r="C26" s="24"/>
    </row>
    <row r="27" spans="2:3" ht="12.75">
      <c r="B27" s="24"/>
      <c r="C27" s="24"/>
    </row>
    <row r="28" spans="2:3" ht="12.75">
      <c r="B28" s="26"/>
      <c r="C28" s="24"/>
    </row>
    <row r="29" spans="2:3" ht="12.75">
      <c r="B29" s="24"/>
      <c r="C29" s="24"/>
    </row>
    <row r="30" spans="2:3" ht="12.75">
      <c r="B30" s="24"/>
      <c r="C30" s="24"/>
    </row>
    <row r="31" spans="2:3" ht="12.75">
      <c r="B31" s="24"/>
      <c r="C31" s="24"/>
    </row>
    <row r="32" ht="12.75">
      <c r="B32" s="24"/>
    </row>
    <row r="33" ht="12.75">
      <c r="B33" s="24"/>
    </row>
    <row r="34" ht="12.75">
      <c r="B34" s="24"/>
    </row>
    <row r="35" ht="12.75">
      <c r="B35" s="24"/>
    </row>
    <row r="36" ht="12.75">
      <c r="B36" s="24"/>
    </row>
    <row r="37" ht="12.75">
      <c r="B37" s="24"/>
    </row>
  </sheetData>
  <mergeCells count="1">
    <mergeCell ref="A1:B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DSMB spreadsheep</dc:title>
  <dc:subject>AE reports</dc:subject>
  <dc:creator>Robert R. Fenichel</dc:creator>
  <cp:keywords/>
  <dc:description/>
  <cp:lastModifiedBy>Robert R. Fenichel</cp:lastModifiedBy>
  <cp:lastPrinted>2008-01-22T15:56:04Z</cp:lastPrinted>
  <dcterms:created xsi:type="dcterms:W3CDTF">1996-10-14T23:33:28Z</dcterms:created>
  <dcterms:modified xsi:type="dcterms:W3CDTF">2008-06-16T18:14:59Z</dcterms:modified>
  <cp:category/>
  <cp:version/>
  <cp:contentType/>
  <cp:contentStatus/>
</cp:coreProperties>
</file>